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ys3F15tblPUu/f9+sMg0yKJqlgA6T16UtSFsKVvdfSO4qx21ANVuqJDnQrycU3nW/nYX05JpK+BGug9D0gvt2w==" workbookSaltValue="HD4FdpHGxNxzRBjnoQrr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Z20" i="17"/>
  <c r="BM20" i="26"/>
  <c r="U11" i="17"/>
  <c r="X10" i="16"/>
  <c r="X18" i="16"/>
  <c r="V18" i="20"/>
  <c r="BH17" i="16"/>
  <c r="J11" i="12"/>
  <c r="X19" i="17"/>
  <c r="U12" i="17"/>
  <c r="AP19" i="20"/>
  <c r="X11" i="17"/>
  <c r="X15" i="16"/>
  <c r="X19" i="16" s="1"/>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<sst xmlns="http://schemas.openxmlformats.org/spreadsheetml/2006/main" count="2513" uniqueCount="1025">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</sst>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hBGWiKtq3yvlJjbqT44t25NAD1cHAAYDlXPuWjPZZ3b6y+8GM/3lli3GlcTJBvOG9z2OjmTlsvAOnVqfpOvCw==" saltValue="uQ0e2dyO5uZtJD69G406k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9</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28.88064414272182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103</v>
      </c>
      <c r="D10" s="224">
        <f>IF(ISNUMBER(Datos!I10),Datos!I10," - ")</f>
        <v>103</v>
      </c>
      <c r="E10" s="225">
        <f>IF(ISNUMBER(Datos!J10),Datos!J10," - ")</f>
        <v>32</v>
      </c>
      <c r="F10" s="225">
        <f>IF(ISNUMBER(Datos!K10),Datos!K10," - ")</f>
        <v>62</v>
      </c>
      <c r="G10" s="1029" t="str">
        <f>IF(Datos!E10&lt;&gt;"",Datos!E10,Datos!D10)</f>
        <v>37</v>
      </c>
      <c r="H10" s="226">
        <f>IF(ISNUMBER(Datos!L10),Datos!L10," - ")</f>
        <v>73</v>
      </c>
      <c r="I10" s="1039" t="str">
        <f>IF(ISNUMBER(Datos!AS10/Datos!BM10),Datos!AS10/Datos!BM10," - ")</f>
        <v xml:space="preserve"> - </v>
      </c>
      <c r="J10" s="1040">
        <f>IF(ISNUMBER(Datos!BY10/Datos!CN10),Datos!BY10/Datos!CN10," - ")</f>
        <v>0</v>
      </c>
      <c r="K10" s="229">
        <f t="shared" ref="K10:K12" si="1">IF(ISNUMBER((E10-F10)/C10),(E10-F10)/C10," - ")</f>
        <v>-0.29126213592233008</v>
      </c>
      <c r="L10" s="1020">
        <f>IF(ISNUMBER(NºAsuntos!I10/NºAsuntos!G10),(NºAsuntos!I10/NºAsuntos!G10)*11," - ")</f>
        <v>12.951612903225808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20.668058455114824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103</v>
      </c>
      <c r="D13" s="1044">
        <f>SUBTOTAL(9,D9:D12)</f>
        <v>103</v>
      </c>
      <c r="E13" s="1045">
        <f>SUBTOTAL(9,E9:E12)</f>
        <v>32</v>
      </c>
      <c r="F13" s="1046">
        <f>SUBTOTAL(9,F9:F12)</f>
        <v>62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4645</v>
      </c>
      <c r="D15" s="224">
        <f>IF(ISNUMBER(IF(D_I="SI",Datos!I15,Datos!I15+Datos!AC15)),IF(D_I="SI",Datos!I15,Datos!I15+Datos!AC15)," - ")</f>
        <v>4699</v>
      </c>
      <c r="E15" s="225">
        <f>IF(ISNUMBER(IF(D_I="SI",Datos!J15,Datos!J15+Datos!AD15)),IF(D_I="SI",Datos!J15,Datos!J15+Datos!AD15)," - ")</f>
        <v>2636</v>
      </c>
      <c r="F15" s="225">
        <f>IF(ISNUMBER(IF(D_I="SI",Datos!K15,Datos!K15+Datos!AE15)),IF(D_I="SI",Datos!K15,Datos!K15+Datos!AE15)," - ")</f>
        <v>2512</v>
      </c>
      <c r="G15" s="1029" t="str">
        <f>IF(Datos!E15&lt;&gt;"",Datos!E15,Datos!D15)</f>
        <v>03</v>
      </c>
      <c r="H15" s="226">
        <f>IF(ISNUMBER(IF(D_I="SI",Datos!L15,Datos!L15+Datos!AF15)),IF(D_I="SI",Datos!L15,Datos!L15+Datos!AF15)," - ")</f>
        <v>4769</v>
      </c>
      <c r="I15" s="1039" t="str">
        <f>IF(ISNUMBER(Datos!AS15/Datos!BM15),Datos!AS15/Datos!BM15," - ")</f>
        <v xml:space="preserve"> - </v>
      </c>
      <c r="J15" s="1040">
        <f>IF(ISNUMBER(Datos!BY15/Datos!CN15),Datos!BY15/Datos!CN15," - ")</f>
        <v>0</v>
      </c>
      <c r="K15" s="229">
        <f t="shared" ref="K15:K18" si="3">IF(ISNUMBER((E15-F15)/C15),(E15-F15)/C15," - ")</f>
        <v>2.6695371367061356E-2</v>
      </c>
      <c r="L15" s="1020">
        <f>IF(ISNUMBER(NºAsuntos!I15/NºAsuntos!G15),(NºAsuntos!I15/NºAsuntos!G15)*11," - ")</f>
        <v>20.883359872611464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92</v>
      </c>
      <c r="D18" s="224">
        <f>IF(ISNUMBER(IF(D_I="SI",Datos!I18,Datos!I18+Datos!AC18)),IF(D_I="SI",Datos!I18,Datos!I18+Datos!AC18)," - ")</f>
        <v>99</v>
      </c>
      <c r="E18" s="225">
        <f>IF(ISNUMBER(IF(D_I="SI",Datos!J18,Datos!J18+Datos!AD18)),IF(D_I="SI",Datos!J18,Datos!J18+Datos!AD18)," - ")</f>
        <v>295</v>
      </c>
      <c r="F18" s="225">
        <f>IF(ISNUMBER(IF(D_I="SI",Datos!K18,Datos!K18+Datos!AE18)),IF(D_I="SI",Datos!K18,Datos!K18+Datos!AE18)," - ")</f>
        <v>193</v>
      </c>
      <c r="G18" s="1029" t="str">
        <f>IF(Datos!E18&lt;&gt;"",Datos!E18,Datos!D18)</f>
        <v>37</v>
      </c>
      <c r="H18" s="226">
        <f>IF(ISNUMBER(IF(D_I="SI",Datos!L18,Datos!L18+Datos!AF18)),IF(D_I="SI",Datos!L18,Datos!L18+Datos!AF18)," - ")</f>
        <v>194</v>
      </c>
      <c r="I18" s="1039" t="str">
        <f>IF(ISNUMBER(Datos!AS18/Datos!BM18),Datos!AS18/Datos!BM18," - ")</f>
        <v xml:space="preserve"> - </v>
      </c>
      <c r="J18" s="1040" t="str">
        <f>IF(ISNUMBER((Datos!BY18+Datos!BZ18)/Datos!CN18),(Datos!BY18+Datos!BZ18)/Datos!CN18," - ")</f>
        <v xml:space="preserve"> - </v>
      </c>
      <c r="K18" s="229">
        <f t="shared" si="3"/>
        <v>1.1086956521739131</v>
      </c>
      <c r="L18" s="1020">
        <f>IF(ISNUMBER(NºAsuntos!I18/NºAsuntos!G18),(NºAsuntos!I18/NºAsuntos!G18)*11," - ")</f>
        <v>11.05699481865285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4737</v>
      </c>
      <c r="D19" s="1044">
        <f>SUBTOTAL(9,D15:D18)</f>
        <v>4798</v>
      </c>
      <c r="E19" s="1045">
        <f>SUBTOTAL(9,E15:E18)</f>
        <v>2931</v>
      </c>
      <c r="F19" s="1045">
        <f>SUBTOTAL(9,F15:F18)</f>
        <v>2705</v>
      </c>
      <c r="G19" s="1047" t="str">
        <f ca="1">INDIRECT(CONCATENATE("G",ROW()-1))</f>
        <v>37</v>
      </c>
      <c r="H19" s="1048">
        <f ca="1">SUMIF(G$14:G18,G19,H$14:H18)</f>
        <v>194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4840</v>
      </c>
      <c r="D20" s="1066">
        <f>SUBTOTAL(9,D9:D19)</f>
        <v>4901</v>
      </c>
      <c r="E20" s="1067">
        <f>SUBTOTAL(9,E9:E19)</f>
        <v>2963</v>
      </c>
      <c r="F20" s="1067">
        <f>SUBTOTAL(9,F9:F19)</f>
        <v>2767</v>
      </c>
      <c r="G20" s="1068"/>
      <c r="H20" s="1069">
        <f ca="1">SUMIF(B9:B19,"TOTAL",H9:H19)</f>
        <v>194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CyeLN1SgYQpE/czWcmTcY6GHAhboum6vcLLpKRpBBnDPsicThZ/76VlN8UgedVoZ2IsCIUA21lmgIHNpBprjw==" saltValue="UnT+/V47T6SAmO/EgM+t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RG9mQCG4nbeHCZ/wXq6OtaJTiR9AM0G5PawceRpjMc05N9PPcT9i7Ir9Fe78/fLuM12W6fzsWDuXBtuEc3rFw==" saltValue="J43VQdP4I8E6cAW10C89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8222</v>
      </c>
      <c r="J9" s="180">
        <v>2945</v>
      </c>
      <c r="K9" s="180">
        <v>3030</v>
      </c>
      <c r="L9" s="180">
        <v>8145</v>
      </c>
      <c r="M9" s="180">
        <v>1591</v>
      </c>
      <c r="N9" s="180">
        <v>827</v>
      </c>
      <c r="O9" s="180">
        <v>1140</v>
      </c>
      <c r="P9" s="180">
        <v>932</v>
      </c>
      <c r="Q9" s="180">
        <v>599</v>
      </c>
      <c r="R9" s="180">
        <v>15954</v>
      </c>
      <c r="S9" s="180">
        <v>10751</v>
      </c>
      <c r="T9" s="180">
        <v>4777</v>
      </c>
      <c r="U9" s="180">
        <v>4238</v>
      </c>
      <c r="V9" s="180">
        <v>11290</v>
      </c>
      <c r="W9" s="180">
        <v>1616</v>
      </c>
      <c r="X9" s="187">
        <v>1202</v>
      </c>
      <c r="Y9" s="190">
        <v>173</v>
      </c>
      <c r="Z9" s="180">
        <v>134</v>
      </c>
      <c r="AA9" s="180">
        <v>137</v>
      </c>
      <c r="AB9" s="180">
        <v>170</v>
      </c>
      <c r="AC9" s="180">
        <v>0</v>
      </c>
      <c r="AD9" s="180">
        <v>0</v>
      </c>
      <c r="AE9" s="180">
        <v>0</v>
      </c>
      <c r="AF9" s="187">
        <v>0</v>
      </c>
      <c r="AG9" s="190">
        <v>70</v>
      </c>
      <c r="AH9" s="180">
        <v>52</v>
      </c>
      <c r="AI9" s="180">
        <v>56</v>
      </c>
      <c r="AJ9" s="191">
        <v>66</v>
      </c>
      <c r="AK9" s="179">
        <v>0</v>
      </c>
      <c r="AL9" s="180">
        <v>0</v>
      </c>
      <c r="AM9" s="180">
        <v>0</v>
      </c>
      <c r="AN9" s="187">
        <v>0</v>
      </c>
      <c r="AO9" s="257">
        <v>9</v>
      </c>
      <c r="AP9" s="153">
        <v>9</v>
      </c>
      <c r="AQ9" s="153">
        <v>9</v>
      </c>
      <c r="AR9" s="192">
        <v>9</v>
      </c>
      <c r="AS9" s="337" t="s">
        <v>763</v>
      </c>
      <c r="AT9" s="194"/>
      <c r="AU9" s="193"/>
      <c r="AV9" s="194"/>
      <c r="AW9" s="193"/>
      <c r="AX9" s="194"/>
      <c r="AY9" s="123">
        <f>IF(ISNUMBER(IF(J_V="SI",S9,S9+AG9)),IF(J_V="SI",S9,S9+AG9)," - ")</f>
        <v>10821</v>
      </c>
      <c r="AZ9" s="123">
        <f>IF(ISNUMBER(IF(J_V="SI",T9,T9+AH9)),IF(J_V="SI",T9,T9+AH9)," - ")</f>
        <v>4829</v>
      </c>
      <c r="BA9" s="124">
        <f>IF(ISNUMBER(IF(J_V="SI",U9,U9+AI9)),IF(J_V="SI",U9,U9+AI9)," - ")</f>
        <v>4294</v>
      </c>
      <c r="BB9" s="124">
        <f>IF(ISNUMBER(IF(J_V="SI",V9,V9+AJ9)),IF(J_V="SI",V9,V9+AJ9)," - ")</f>
        <v>11356</v>
      </c>
      <c r="BC9" s="125">
        <f>IF(ISNUMBER(X9),X9," - ")</f>
        <v>1202</v>
      </c>
      <c r="BD9" s="126">
        <f>IF(ISNUMBER(BA9/AZ9),BA9/AZ9," - ")</f>
        <v>0.8892110167736591</v>
      </c>
      <c r="BE9" s="127">
        <f>IF(ISNUMBER(BB9/BA9),BB9/BA9, " - ")</f>
        <v>2.6446204005589196</v>
      </c>
      <c r="BF9" s="127">
        <f>IF(ISNUMBER(BC9/BA9),BC9/BA9, " - ")</f>
        <v>0.27992547741034002</v>
      </c>
      <c r="BG9" s="195">
        <f>IF(ISNUMBER((AY9+AZ9)/BA9),(AY9+AZ9)/BA9," - ")</f>
        <v>3.6446204005589196</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103</v>
      </c>
      <c r="J10" s="180">
        <v>32</v>
      </c>
      <c r="K10" s="180">
        <v>62</v>
      </c>
      <c r="L10" s="180">
        <v>73</v>
      </c>
      <c r="M10" s="180">
        <v>14</v>
      </c>
      <c r="N10" s="180">
        <v>13</v>
      </c>
      <c r="O10" s="180">
        <v>0</v>
      </c>
      <c r="P10" s="180">
        <v>0</v>
      </c>
      <c r="Q10" s="180">
        <v>4</v>
      </c>
      <c r="R10" s="180">
        <v>99</v>
      </c>
      <c r="S10" s="180">
        <v>116</v>
      </c>
      <c r="T10" s="180">
        <v>23</v>
      </c>
      <c r="U10" s="180">
        <v>20</v>
      </c>
      <c r="V10" s="180">
        <v>117</v>
      </c>
      <c r="W10" s="180">
        <v>9</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116</v>
      </c>
      <c r="AZ10" s="129">
        <f t="shared" si="0"/>
        <v>23</v>
      </c>
      <c r="BA10" s="129">
        <f t="shared" si="0"/>
        <v>20</v>
      </c>
      <c r="BB10" s="129">
        <f t="shared" si="0"/>
        <v>117</v>
      </c>
      <c r="BC10" s="125">
        <f t="shared" si="0"/>
        <v>9</v>
      </c>
      <c r="BD10" s="126">
        <f>IF(ISNUMBER(BA10/AZ10),BA10/AZ10," - ")</f>
        <v>0.86956521739130432</v>
      </c>
      <c r="BE10" s="127">
        <f>IF(ISNUMBER(BB10/BA10),BB10/BA10, " - ")</f>
        <v>5.85</v>
      </c>
      <c r="BF10" s="127">
        <f>IF(ISNUMBER(BC10/BA10),BC10/BA10, " - ")</f>
        <v>0.45</v>
      </c>
      <c r="BG10" s="195">
        <f>IF(ISNUMBER((AY10+AZ10)/BA10),(AY10+AZ10)/BA10," - ")</f>
        <v>6.95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515</v>
      </c>
      <c r="J11" s="182">
        <v>326</v>
      </c>
      <c r="K11" s="182">
        <v>288</v>
      </c>
      <c r="L11" s="182">
        <v>553</v>
      </c>
      <c r="M11" s="182">
        <v>141</v>
      </c>
      <c r="N11" s="182">
        <v>266</v>
      </c>
      <c r="O11" s="180">
        <v>105</v>
      </c>
      <c r="P11" s="182">
        <v>56</v>
      </c>
      <c r="Q11" s="182">
        <v>30</v>
      </c>
      <c r="R11" s="182">
        <v>479</v>
      </c>
      <c r="S11" s="182">
        <v>778</v>
      </c>
      <c r="T11" s="182">
        <v>383</v>
      </c>
      <c r="U11" s="182">
        <v>414</v>
      </c>
      <c r="V11" s="182">
        <v>747</v>
      </c>
      <c r="W11" s="182">
        <v>161</v>
      </c>
      <c r="X11" s="188">
        <v>335</v>
      </c>
      <c r="Y11" s="190">
        <v>369</v>
      </c>
      <c r="Z11" s="180">
        <v>169</v>
      </c>
      <c r="AA11" s="180">
        <v>191</v>
      </c>
      <c r="AB11" s="180">
        <v>347</v>
      </c>
      <c r="AC11" s="182">
        <v>0</v>
      </c>
      <c r="AD11" s="182">
        <v>0</v>
      </c>
      <c r="AE11" s="182">
        <v>0</v>
      </c>
      <c r="AF11" s="188">
        <v>0</v>
      </c>
      <c r="AG11" s="201">
        <v>391</v>
      </c>
      <c r="AH11" s="182">
        <v>175</v>
      </c>
      <c r="AI11" s="182">
        <v>174</v>
      </c>
      <c r="AJ11" s="202">
        <v>392</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1169</v>
      </c>
      <c r="AZ11" s="127">
        <f t="shared" si="1"/>
        <v>558</v>
      </c>
      <c r="BA11" s="127">
        <f t="shared" si="1"/>
        <v>588</v>
      </c>
      <c r="BB11" s="127">
        <f t="shared" si="1"/>
        <v>1139</v>
      </c>
      <c r="BC11" s="125">
        <f>IF(ISNUMBER(X11),X11," - ")</f>
        <v>335</v>
      </c>
      <c r="BD11" s="126">
        <f t="shared" ref="BD11:BD12" si="2">IF(ISNUMBER(BA11/AZ11),BA11/AZ11," - ")</f>
        <v>1.053763440860215</v>
      </c>
      <c r="BE11" s="127">
        <f t="shared" ref="BE11:BE12" si="3">IF(ISNUMBER(BB11/BA11),BB11/BA11, " - ")</f>
        <v>1.9370748299319729</v>
      </c>
      <c r="BF11" s="127">
        <f t="shared" ref="BF11:BF12" si="4">IF(ISNUMBER(BC11/BA11),BC11/BA11, " - ")</f>
        <v>0.56972789115646261</v>
      </c>
      <c r="BG11" s="195">
        <f t="shared" ref="BG11:BG12" si="5">IF(ISNUMBER((AY11+AZ11)/BA11),(AY11+AZ11)/BA11," - ")</f>
        <v>2.9370748299319729</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8840</v>
      </c>
      <c r="J13" s="183">
        <f t="shared" si="6"/>
        <v>3303</v>
      </c>
      <c r="K13" s="183">
        <f t="shared" si="6"/>
        <v>3380</v>
      </c>
      <c r="L13" s="183">
        <f t="shared" si="6"/>
        <v>8771</v>
      </c>
      <c r="M13" s="183">
        <f t="shared" si="6"/>
        <v>1746</v>
      </c>
      <c r="N13" s="183">
        <f t="shared" si="6"/>
        <v>1106</v>
      </c>
      <c r="O13" s="183">
        <f t="shared" si="6"/>
        <v>1245</v>
      </c>
      <c r="P13" s="183">
        <f t="shared" si="6"/>
        <v>988</v>
      </c>
      <c r="Q13" s="183">
        <f t="shared" si="6"/>
        <v>633</v>
      </c>
      <c r="R13" s="183">
        <f t="shared" si="6"/>
        <v>16532</v>
      </c>
      <c r="S13" s="183">
        <f t="shared" si="6"/>
        <v>11645</v>
      </c>
      <c r="T13" s="183">
        <f t="shared" si="6"/>
        <v>5183</v>
      </c>
      <c r="U13" s="183">
        <f t="shared" si="6"/>
        <v>4672</v>
      </c>
      <c r="V13" s="183">
        <f t="shared" si="6"/>
        <v>12154</v>
      </c>
      <c r="W13" s="183">
        <f t="shared" si="6"/>
        <v>1786</v>
      </c>
      <c r="X13" s="183">
        <f t="shared" si="6"/>
        <v>1546</v>
      </c>
      <c r="Y13" s="183">
        <f t="shared" si="6"/>
        <v>542</v>
      </c>
      <c r="Z13" s="183">
        <f t="shared" si="6"/>
        <v>303</v>
      </c>
      <c r="AA13" s="183">
        <f t="shared" si="6"/>
        <v>328</v>
      </c>
      <c r="AB13" s="183">
        <f t="shared" si="6"/>
        <v>517</v>
      </c>
      <c r="AC13" s="183">
        <f t="shared" si="6"/>
        <v>0</v>
      </c>
      <c r="AD13" s="183">
        <f t="shared" si="6"/>
        <v>0</v>
      </c>
      <c r="AE13" s="183">
        <f t="shared" si="6"/>
        <v>0</v>
      </c>
      <c r="AF13" s="183">
        <f>SUBTOTAL(9,AF9:AF12)</f>
        <v>0</v>
      </c>
      <c r="AG13" s="183">
        <f t="shared" ref="AG13:AT13" si="7">SUBTOTAL(9,AG8:AG12)</f>
        <v>461</v>
      </c>
      <c r="AH13" s="183">
        <f t="shared" si="7"/>
        <v>227</v>
      </c>
      <c r="AI13" s="183">
        <f t="shared" si="7"/>
        <v>230</v>
      </c>
      <c r="AJ13" s="183">
        <f t="shared" si="7"/>
        <v>458</v>
      </c>
      <c r="AK13" s="183">
        <f t="shared" si="7"/>
        <v>0</v>
      </c>
      <c r="AL13" s="183">
        <f t="shared" si="7"/>
        <v>0</v>
      </c>
      <c r="AM13" s="183">
        <f t="shared" si="7"/>
        <v>0</v>
      </c>
      <c r="AN13" s="183">
        <f t="shared" si="7"/>
        <v>0</v>
      </c>
      <c r="AO13" s="183">
        <f t="shared" si="7"/>
        <v>14</v>
      </c>
      <c r="AP13" s="183">
        <f t="shared" si="7"/>
        <v>13</v>
      </c>
      <c r="AQ13" s="183">
        <f t="shared" si="7"/>
        <v>12</v>
      </c>
      <c r="AR13" s="183">
        <f t="shared" si="7"/>
        <v>12</v>
      </c>
      <c r="AS13" s="183">
        <f t="shared" si="7"/>
        <v>0</v>
      </c>
      <c r="AT13" s="183">
        <f t="shared" si="7"/>
        <v>0</v>
      </c>
      <c r="AU13" s="203"/>
      <c r="AV13" s="132"/>
      <c r="AW13" s="203"/>
      <c r="AX13" s="132"/>
      <c r="AY13" s="183">
        <f>SUBTOTAL(9,AY8:AY12)</f>
        <v>12106</v>
      </c>
      <c r="AZ13" s="183">
        <f>SUBTOTAL(9,AZ8:AZ12)</f>
        <v>5410</v>
      </c>
      <c r="BA13" s="183">
        <f>SUBTOTAL(9,BA8:BA12)</f>
        <v>4902</v>
      </c>
      <c r="BB13" s="183">
        <f>SUBTOTAL(9,BB8:BB12)</f>
        <v>12612</v>
      </c>
      <c r="BC13" s="183">
        <f>SUBTOTAL(9,BC8:BC12)</f>
        <v>1546</v>
      </c>
      <c r="BD13" s="204">
        <f>IF(ISNUMBER(BA13/AZ13),BA13/AZ13," - ")</f>
        <v>0.90609981515711646</v>
      </c>
      <c r="BE13" s="205">
        <f>IF(ISNUMBER(BB13/BA13),BB13/BA13, " - ")</f>
        <v>2.5728274173806609</v>
      </c>
      <c r="BF13" s="205">
        <f>IF(ISNUMBER(BC13/BA13),BC13/BA13, " - ")</f>
        <v>0.31538147694818441</v>
      </c>
      <c r="BG13" s="206">
        <f>IF(ISNUMBER((AY13+AZ13)/BA13),(AY13+AZ13)/BA13," - ")</f>
        <v>3.5732354141166871</v>
      </c>
      <c r="BH13" s="139">
        <f>SUBTOTAL(9,BH8:BH12)</f>
        <v>15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4699</v>
      </c>
      <c r="J15" s="182">
        <v>2636</v>
      </c>
      <c r="K15" s="182">
        <v>2512</v>
      </c>
      <c r="L15" s="182">
        <v>4769</v>
      </c>
      <c r="M15" s="182">
        <v>522</v>
      </c>
      <c r="N15" s="182">
        <v>1206</v>
      </c>
      <c r="O15" s="180">
        <v>15</v>
      </c>
      <c r="P15" s="182">
        <v>93</v>
      </c>
      <c r="Q15" s="182">
        <v>199</v>
      </c>
      <c r="R15" s="182">
        <v>736</v>
      </c>
      <c r="S15" s="182">
        <v>4995</v>
      </c>
      <c r="T15" s="182">
        <v>2550</v>
      </c>
      <c r="U15" s="182">
        <v>2948</v>
      </c>
      <c r="V15" s="182">
        <v>4619</v>
      </c>
      <c r="W15" s="182">
        <v>464</v>
      </c>
      <c r="X15" s="188">
        <v>1477</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4995</v>
      </c>
      <c r="AZ15" s="129">
        <f t="shared" si="9"/>
        <v>2550</v>
      </c>
      <c r="BA15" s="129">
        <f t="shared" si="9"/>
        <v>2948</v>
      </c>
      <c r="BB15" s="129">
        <f t="shared" si="9"/>
        <v>4619</v>
      </c>
      <c r="BC15" s="125">
        <f>IF(ISNUMBER(W15),W15," - ")</f>
        <v>464</v>
      </c>
      <c r="BD15" s="126">
        <f>IF(ISNUMBER(BA15/AZ15),BA15/AZ15," - ")</f>
        <v>1.156078431372549</v>
      </c>
      <c r="BE15" s="127">
        <f>IF(ISNUMBER(BB15/BA15),BB15/BA15, " - ")</f>
        <v>1.5668249660786975</v>
      </c>
      <c r="BF15" s="127">
        <f>IF(ISNUMBER(BC15/BA15),BC15/BA15, " - ")</f>
        <v>0.15739484396200815</v>
      </c>
      <c r="BG15" s="195">
        <f t="shared" ref="BG15:BG17" si="10">IF(ISNUMBER((AY15+AZ15)/BA15),(AY15+AZ15)/BA15," - ")</f>
        <v>2.5593622795115332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99</v>
      </c>
      <c r="J18" s="182">
        <v>295</v>
      </c>
      <c r="K18" s="182">
        <v>193</v>
      </c>
      <c r="L18" s="182">
        <v>194</v>
      </c>
      <c r="M18" s="182">
        <v>33</v>
      </c>
      <c r="N18" s="182">
        <v>99</v>
      </c>
      <c r="O18" s="182">
        <v>0</v>
      </c>
      <c r="P18" s="182">
        <v>0</v>
      </c>
      <c r="Q18" s="182">
        <v>3</v>
      </c>
      <c r="R18" s="182">
        <v>6</v>
      </c>
      <c r="S18" s="182">
        <v>88</v>
      </c>
      <c r="T18" s="182">
        <v>215</v>
      </c>
      <c r="U18" s="182">
        <v>225</v>
      </c>
      <c r="V18" s="182">
        <v>81</v>
      </c>
      <c r="W18" s="182">
        <v>27</v>
      </c>
      <c r="X18" s="188">
        <v>106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88</v>
      </c>
      <c r="AZ18" s="129">
        <f t="shared" si="19"/>
        <v>215</v>
      </c>
      <c r="BA18" s="129">
        <f t="shared" si="19"/>
        <v>225</v>
      </c>
      <c r="BB18" s="129">
        <f t="shared" si="19"/>
        <v>81</v>
      </c>
      <c r="BC18" s="125">
        <f>IF(ISNUMBER(W18),W18," - ")</f>
        <v>27</v>
      </c>
      <c r="BD18" s="126">
        <f>IF(ISNUMBER(BA18/AZ18),BA18/AZ18," - ")</f>
        <v>1.0465116279069768</v>
      </c>
      <c r="BE18" s="127">
        <f>IF(ISNUMBER(BB18/BA18),BB18/BA18, " - ")</f>
        <v>0.36</v>
      </c>
      <c r="BF18" s="127">
        <f>IF(ISNUMBER(BC18/BA18),BC18/BA18, " - ")</f>
        <v>0.12</v>
      </c>
      <c r="BG18" s="195">
        <f>IF(ISNUMBER((AY18+AZ18)/BA18),(AY18+AZ18)/BA18," - ")</f>
        <v>1.3466666666666667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4798</v>
      </c>
      <c r="J19" s="183">
        <f t="shared" si="20"/>
        <v>2931</v>
      </c>
      <c r="K19" s="183">
        <f t="shared" si="20"/>
        <v>2705</v>
      </c>
      <c r="L19" s="183">
        <f t="shared" si="20"/>
        <v>4963</v>
      </c>
      <c r="M19" s="183">
        <f t="shared" si="20"/>
        <v>555</v>
      </c>
      <c r="N19" s="183">
        <f t="shared" si="20"/>
        <v>1305</v>
      </c>
      <c r="O19" s="183">
        <f t="shared" si="20"/>
        <v>15</v>
      </c>
      <c r="P19" s="183">
        <f t="shared" si="20"/>
        <v>93</v>
      </c>
      <c r="Q19" s="183">
        <f t="shared" si="20"/>
        <v>202</v>
      </c>
      <c r="R19" s="183">
        <f t="shared" si="20"/>
        <v>742</v>
      </c>
      <c r="S19" s="183">
        <f t="shared" si="20"/>
        <v>5083</v>
      </c>
      <c r="T19" s="183">
        <f t="shared" si="20"/>
        <v>2765</v>
      </c>
      <c r="U19" s="183">
        <f t="shared" si="20"/>
        <v>3173</v>
      </c>
      <c r="V19" s="183">
        <f t="shared" si="20"/>
        <v>4700</v>
      </c>
      <c r="W19" s="183">
        <f t="shared" si="20"/>
        <v>491</v>
      </c>
      <c r="X19" s="183">
        <f t="shared" si="20"/>
        <v>1583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5083</v>
      </c>
      <c r="AZ19" s="183">
        <f>SUBTOTAL(9,AZ14:AZ18)</f>
        <v>2765</v>
      </c>
      <c r="BA19" s="183">
        <f>SUBTOTAL(9,BA14:BA18)</f>
        <v>3173</v>
      </c>
      <c r="BB19" s="183">
        <f>SUBTOTAL(9,BB14:BB18)</f>
        <v>4700</v>
      </c>
      <c r="BC19" s="183">
        <f>SUBTOTAL(9,BC14:BC18)</f>
        <v>491</v>
      </c>
      <c r="BD19" s="204">
        <f>IF(ISNUMBER(BA19/AZ19),BA19/AZ19," - ")</f>
        <v>1.1475587703435806</v>
      </c>
      <c r="BE19" s="205">
        <f>IF(ISNUMBER(BB19/BA19),BB19/BA19, " - ")</f>
        <v>1.4812480302552788</v>
      </c>
      <c r="BF19" s="205">
        <f>IF(ISNUMBER(BC19/BA19),BC19/BA19, " - ")</f>
        <v>0.15474314528837063</v>
      </c>
      <c r="BG19" s="206">
        <f>IF(ISNUMBER((AY19+AZ19)/BA19),(AY19+AZ19)/BA19," - ")</f>
        <v>2.4733690513709425</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13638</v>
      </c>
      <c r="J20" s="134">
        <f t="shared" si="23"/>
        <v>6234</v>
      </c>
      <c r="K20" s="134">
        <f t="shared" si="23"/>
        <v>6085</v>
      </c>
      <c r="L20" s="134">
        <f t="shared" si="23"/>
        <v>13734</v>
      </c>
      <c r="M20" s="134">
        <f t="shared" si="23"/>
        <v>2301</v>
      </c>
      <c r="N20" s="134">
        <f t="shared" si="23"/>
        <v>2411</v>
      </c>
      <c r="O20" s="134">
        <f t="shared" si="23"/>
        <v>1260</v>
      </c>
      <c r="P20" s="134">
        <f t="shared" si="23"/>
        <v>1081</v>
      </c>
      <c r="Q20" s="134">
        <f t="shared" si="23"/>
        <v>835</v>
      </c>
      <c r="R20" s="134">
        <f t="shared" si="23"/>
        <v>17274</v>
      </c>
      <c r="S20" s="134">
        <f t="shared" si="23"/>
        <v>16728</v>
      </c>
      <c r="T20" s="134">
        <f t="shared" si="23"/>
        <v>7948</v>
      </c>
      <c r="U20" s="134">
        <f t="shared" si="23"/>
        <v>7845</v>
      </c>
      <c r="V20" s="134">
        <f t="shared" si="23"/>
        <v>16854</v>
      </c>
      <c r="W20" s="134">
        <f t="shared" si="23"/>
        <v>2277</v>
      </c>
      <c r="X20" s="134">
        <f t="shared" si="23"/>
        <v>3129</v>
      </c>
      <c r="Y20" s="134">
        <f t="shared" si="23"/>
        <v>542</v>
      </c>
      <c r="Z20" s="134">
        <f t="shared" si="23"/>
        <v>303</v>
      </c>
      <c r="AA20" s="134">
        <f t="shared" si="23"/>
        <v>328</v>
      </c>
      <c r="AB20" s="134">
        <f t="shared" si="23"/>
        <v>517</v>
      </c>
      <c r="AC20" s="134">
        <f t="shared" si="23"/>
        <v>0</v>
      </c>
      <c r="AD20" s="134">
        <f t="shared" si="23"/>
        <v>0</v>
      </c>
      <c r="AE20" s="134">
        <f t="shared" si="23"/>
        <v>0</v>
      </c>
      <c r="AF20" s="134">
        <f t="shared" si="23"/>
        <v>0</v>
      </c>
      <c r="AG20" s="134">
        <f t="shared" si="23"/>
        <v>461</v>
      </c>
      <c r="AH20" s="134">
        <f t="shared" si="23"/>
        <v>227</v>
      </c>
      <c r="AI20" s="134">
        <f t="shared" si="23"/>
        <v>230</v>
      </c>
      <c r="AJ20" s="134">
        <f t="shared" si="23"/>
        <v>458</v>
      </c>
      <c r="AK20" s="134">
        <f t="shared" si="23"/>
        <v>0</v>
      </c>
      <c r="AL20" s="134">
        <f t="shared" si="23"/>
        <v>0</v>
      </c>
      <c r="AM20" s="134">
        <f t="shared" si="23"/>
        <v>0</v>
      </c>
      <c r="AN20" s="209">
        <f t="shared" si="23"/>
        <v>0</v>
      </c>
      <c r="AO20" s="210">
        <v>19</v>
      </c>
      <c r="AP20" s="210">
        <v>18</v>
      </c>
      <c r="AQ20" s="210">
        <v>17</v>
      </c>
      <c r="AR20" s="210">
        <v>17</v>
      </c>
      <c r="AS20" s="152">
        <f t="shared" si="23"/>
        <v>0</v>
      </c>
      <c r="AT20" s="152">
        <f t="shared" si="23"/>
        <v>0</v>
      </c>
      <c r="AU20" s="210"/>
      <c r="AV20" s="211"/>
      <c r="AW20" s="210"/>
      <c r="AX20" s="211"/>
      <c r="AY20" s="133">
        <f>SUBTOTAL(9,AY9:AY19)</f>
        <v>17189</v>
      </c>
      <c r="AZ20" s="134">
        <f>SUBTOTAL(9,AZ9:AZ19)</f>
        <v>8175</v>
      </c>
      <c r="BA20" s="134">
        <f>SUBTOTAL(9,BA9:BA19)</f>
        <v>8075</v>
      </c>
      <c r="BB20" s="134">
        <f>SUBTOTAL(9,BB9:BB19)</f>
        <v>17312</v>
      </c>
      <c r="BC20" s="135">
        <f>SUBTOTAL(9,BC9:BC19)</f>
        <v>2037</v>
      </c>
      <c r="BD20" s="212">
        <f>IF(ISNUMBER(BA20/AZ20),BA20/AZ20," - ")</f>
        <v>0.98776758409785936</v>
      </c>
      <c r="BE20" s="209">
        <f>IF(ISNUMBER(BB20/BA20),BB20/BA20, " - ")</f>
        <v>2.1439009287925694</v>
      </c>
      <c r="BF20" s="209">
        <f>IF(ISNUMBER(BC20/BA20),BC20/BA20, " - ")</f>
        <v>0.25226006191950462</v>
      </c>
      <c r="BG20" s="135">
        <f>IF(ISNUMBER((AY20+AZ20)/BA20),(AY20+AZ20)/BA20," - ")</f>
        <v>3.1410526315789475</v>
      </c>
      <c r="BH20" s="210">
        <f>SUBTOTAL(9,BH9:BH19)</f>
        <v>21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0MdYgd0xP42pSQ4refA/t4OsIZltNCBqon7MTRwEh5JovrVAPkgNkIxs5rILNlnyraqerCJRZVDAFb0TpBtrg==" saltValue="pPV0UtJtGWlUNPL75pmek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vRsOxsqYhuSml98x6/JZKComxtm1XPGNq2zIBQr7Uke0a3L3PPvJeva1evwUDn8HbE8ySXG9jKCueDkiZ6oQ==" saltValue="mnymc912efa9i44qOuWi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LEON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9</v>
      </c>
      <c r="B9" s="1275" t="s">
        <v>247</v>
      </c>
      <c r="C9" s="1200" t="str">
        <f>Datos!A9</f>
        <v>Sección Civil del T.I</v>
      </c>
      <c r="D9" s="1276"/>
      <c r="E9" s="1226">
        <f>IF(ISNUMBER(Datos!AQ9),Datos!AQ9," - ")</f>
        <v>9</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134</v>
      </c>
      <c r="O9" s="1247"/>
      <c r="P9" s="1247"/>
      <c r="Q9" s="1215">
        <f>IF(ISNUMBER(Datos!P9),Datos!P9,0)</f>
        <v>932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599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170</v>
      </c>
      <c r="AI9" s="1247" t="str">
        <f>IF(ISNUMBER(Datos!CD9),Datos!CD9,"-")</f>
        <v>-</v>
      </c>
      <c r="AJ9" s="1247" t="str">
        <f>IF(ISNUMBER(Datos!EN9),Datos!EN9," - ")</f>
        <v xml:space="preserve"> - </v>
      </c>
      <c r="AK9" s="1247"/>
      <c r="AL9" s="1258"/>
      <c r="AM9" s="1248">
        <f>IF(ISNUMBER(Datos!R9),Datos!R9," - ")</f>
        <v>15954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1591</v>
      </c>
      <c r="BD9" s="1218">
        <f>IF(ISNUMBER(Datos!N9),Datos!N9," - ")</f>
        <v>827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1.028580708022085</v>
      </c>
      <c r="BH9" s="1226">
        <f>IF(ISNUMBER(((IF(J_V="SI",Datos!L9/Datos!K9,(Datos!L9+Datos!AB9)/(Datos!K9+Datos!AA9)))*11)/factor_trimestre),((IF(J_V="SI",Datos!L9/Datos!K9,(Datos!L9+Datos!AB9)/(Datos!K9+Datos!AA9)))*11)/factor_trimestre," - ")</f>
        <v>7.8765393116514062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2.1317457269060879E-2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103</v>
      </c>
      <c r="G10" s="1246">
        <f>IF(ISNUMBER(Datos!I10),Datos!I10," - ")</f>
        <v>103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62</v>
      </c>
      <c r="AC10" s="1215">
        <f>IF(ISNUMBER(Datos!Q10),Datos!Q10," - ")</f>
        <v>4</v>
      </c>
      <c r="AD10" s="1247"/>
      <c r="AE10" s="1262"/>
      <c r="AF10" s="1245">
        <f>IF(ISNUMBER(Datos!L10),Datos!L10,"-")</f>
        <v>73</v>
      </c>
      <c r="AG10" s="1247"/>
      <c r="AH10" s="1247"/>
      <c r="AI10" s="1247"/>
      <c r="AJ10" s="1247"/>
      <c r="AK10" s="1247"/>
      <c r="AL10" s="1258"/>
      <c r="AM10" s="1248">
        <f>IF(ISNUMBER(Datos!R10),Datos!R10," - ")</f>
        <v>99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13</v>
      </c>
      <c r="BE10" s="1218" t="str">
        <f>IF(ISNUMBER(Datos!BW10),Datos!BW10," - ")</f>
        <v xml:space="preserve"> - </v>
      </c>
      <c r="BF10" s="1217" t="str">
        <f>IF(ISNUMBER(Datos!BX10),Datos!BX10," - ")</f>
        <v xml:space="preserve"> - </v>
      </c>
      <c r="BG10" s="1223">
        <f>IF(ISNUMBER(Datos!K10/Datos!J10),Datos!K10/Datos!J10," - ")</f>
        <v>1.9375</v>
      </c>
      <c r="BH10" s="1226">
        <f>IF(ISNUMBER(((Datos!L10/Datos!K10)*11)/factor_trimestre),((Datos!L10/Datos!K10)*11)/factor_trimestre," - ")</f>
        <v>3.5322580645161294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-3.8834951456310676E-2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169</v>
      </c>
      <c r="O11" s="1247"/>
      <c r="P11" s="1247"/>
      <c r="Q11" s="1215">
        <f>IF(ISNUMBER(Datos!P11),Datos!P11,0)</f>
        <v>56</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30</v>
      </c>
      <c r="AD11" s="1247"/>
      <c r="AE11" s="1262"/>
      <c r="AF11" s="1245" t="str">
        <f>IF(ISNUMBER(IF(J_V="SI",Datos!L11,Datos!L11+Datos!AB11)-IF(Monitorios="SI",Datos!CD11,0)),
                          IF(J_V="SI",Datos!L11,Datos!L11+Datos!AB11)-IF(Monitorios="SI",Datos!CD11,0),
                          " - ")</f>
        <v xml:space="preserve"> - </v>
      </c>
      <c r="AG11" s="1247"/>
      <c r="AH11" s="1247">
        <f>IF(ISNUMBER(Datos!AB11),Datos!AB11,"-")</f>
        <v>347</v>
      </c>
      <c r="AI11" s="1247"/>
      <c r="AJ11" s="1247"/>
      <c r="AK11" s="1247"/>
      <c r="AL11" s="1258"/>
      <c r="AM11" s="1248">
        <f>IF(ISNUMBER(Datos!R11),Datos!R11," - ")</f>
        <v>479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141</v>
      </c>
      <c r="BD11" s="1218">
        <f>IF(ISNUMBER(Datos!N11),Datos!N11," - ")</f>
        <v>266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0.96767676767676769</v>
      </c>
      <c r="BH11" s="1226">
        <f>IF(ISNUMBER(((IF(J_V="SI",Datos!L11/Datos!K11,(Datos!L11+Datos!AB11)/(Datos!K11+Datos!AA11)))*11)/factor_trimestre),((IF(J_V="SI",Datos!L11/Datos!K11,(Datos!L11+Datos!AB11)/(Datos!K11+Datos!AA11)))*11)/factor_trimestre," - ")</f>
        <v>5.6367432150313164</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5.7395143487858721E-2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12</v>
      </c>
      <c r="F13" s="1391">
        <f t="shared" si="0"/>
        <v>103</v>
      </c>
      <c r="G13" s="1391">
        <f t="shared" si="0"/>
        <v>103</v>
      </c>
      <c r="H13" s="1392">
        <f t="shared" si="0"/>
        <v>0</v>
      </c>
      <c r="I13" s="1391">
        <f t="shared" si="0"/>
        <v>0</v>
      </c>
      <c r="J13" s="1383">
        <f t="shared" si="0"/>
        <v>0</v>
      </c>
      <c r="K13" s="1383">
        <f t="shared" si="0"/>
        <v>0</v>
      </c>
      <c r="L13" s="1392">
        <f t="shared" si="0"/>
        <v>0</v>
      </c>
      <c r="M13" s="1392">
        <f t="shared" si="0"/>
        <v>0</v>
      </c>
      <c r="N13" s="1392">
        <f t="shared" si="0"/>
        <v>303</v>
      </c>
      <c r="O13" s="1393">
        <f t="shared" si="0"/>
        <v>0</v>
      </c>
      <c r="P13" s="1393">
        <f t="shared" si="0"/>
        <v>0</v>
      </c>
      <c r="Q13" s="1392">
        <f t="shared" si="0"/>
        <v>988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62</v>
      </c>
      <c r="AC13" s="1392">
        <f t="shared" si="1"/>
        <v>633</v>
      </c>
      <c r="AD13" s="1392">
        <f t="shared" si="1"/>
        <v>0</v>
      </c>
      <c r="AE13" s="1392">
        <f t="shared" si="1"/>
        <v>0</v>
      </c>
      <c r="AF13" s="1392">
        <f t="shared" si="1"/>
        <v>73</v>
      </c>
      <c r="AG13" s="1392">
        <f t="shared" si="1"/>
        <v>0</v>
      </c>
      <c r="AH13" s="1392">
        <f t="shared" si="1"/>
        <v>517</v>
      </c>
      <c r="AI13" s="1392">
        <f t="shared" si="1"/>
        <v>0</v>
      </c>
      <c r="AJ13" s="1392">
        <f t="shared" si="1"/>
        <v>0</v>
      </c>
      <c r="AK13" s="1392">
        <f t="shared" si="1"/>
        <v>0</v>
      </c>
      <c r="AL13" s="1392">
        <f t="shared" si="1"/>
        <v>0</v>
      </c>
      <c r="AM13" s="1392">
        <f t="shared" si="1"/>
        <v>16532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1746</v>
      </c>
      <c r="BD13" s="1392">
        <f t="shared" si="1"/>
        <v>1106</v>
      </c>
      <c r="BE13" s="1392">
        <f t="shared" si="1"/>
        <v>0</v>
      </c>
      <c r="BF13" s="1392">
        <f t="shared" si="1"/>
        <v>0</v>
      </c>
      <c r="BG13" s="1392">
        <f>IF(ISNUMBER(Datos!K13/Datos!J13),Datos!K13/Datos!J13," - ")</f>
        <v>1.0233121404783529</v>
      </c>
      <c r="BH13" s="1396">
        <f>IF(ISNUMBER(((Datos!L13/Datos!K13)*11)/factor_trimestre),((Datos!L13/Datos!K13)*11)/factor_trimestre," - ")</f>
        <v>7.7849112426035507</v>
      </c>
      <c r="BI13" s="1392">
        <f>IF(ISNUMBER('Resol  Asuntos'!D13/NºAsuntos!G13),'Resol  Asuntos'!D13/NºAsuntos!G13," - ")</f>
        <v>0.470873786407767</v>
      </c>
      <c r="BJ13" s="1392" t="str">
        <f>IF(ISNUMBER(Datos!CI13/Datos!CJ13),Datos!CI13/Datos!CJ13," - ")</f>
        <v xml:space="preserve"> - </v>
      </c>
      <c r="BK13" s="1392">
        <f>SUBTOTAL(9,BK8:BK12)</f>
        <v>0</v>
      </c>
      <c r="BL13" s="1392">
        <f>IF(ISNUMBER((I13-AB13+L13)/(F13)),(I13-AB13+L13)/(F13)," - ")</f>
        <v>-0.60194174757281549</v>
      </c>
      <c r="BM13" s="1397">
        <f>SUBTOTAL(9,BM9:BM12)</f>
        <v>3.9877649300608928E-2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4645</v>
      </c>
      <c r="G15" s="1335">
        <f>IF(ISNUMBER(IF(D_I="SI",Datos!I15,Datos!I15+Datos!AC15)),IF(D_I="SI",Datos!I15,Datos!I15+Datos!AC15)," - ")</f>
        <v>4699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93</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2512</v>
      </c>
      <c r="AC15" s="1215">
        <f>IF(ISNUMBER(Datos!Q15),Datos!Q15," - ")</f>
        <v>199</v>
      </c>
      <c r="AD15" s="1247"/>
      <c r="AE15" s="1262"/>
      <c r="AF15" s="1333">
        <f>IF(ISNUMBER(IF(D_I="SI",Datos!L15,Datos!L15+Datos!AF15)),IF(D_I="SI",Datos!L15,Datos!L15+Datos!AF15)," - ")</f>
        <v>4769</v>
      </c>
      <c r="AG15" s="1247"/>
      <c r="AH15" s="1247"/>
      <c r="AI15" s="1247"/>
      <c r="AJ15" s="1247"/>
      <c r="AK15" s="1247"/>
      <c r="AL15" s="1258"/>
      <c r="AM15" s="1248">
        <f>IF(ISNUMBER(Datos!R15),Datos!R15," - ")</f>
        <v>736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522</v>
      </c>
      <c r="BD15" s="1218">
        <f>IF(ISNUMBER(Datos!N15),Datos!N15," - ")</f>
        <v>1206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0.95295902883156303</v>
      </c>
      <c r="BH15" s="1226">
        <f>IF(ISNUMBER(((IF(D_I="SI",Datos!L15/Datos!K15,(Datos!L15+Datos!AF15)/(Datos!K15+Datos!AE15)))*11)/factor_trimestre),((IF(D_I="SI",Datos!L15/Datos!K15,(Datos!L15+Datos!AF15)/(Datos!K15+Datos!AE15)))*11)/factor_trimestre," - ")</f>
        <v>5.6954617834394909</v>
      </c>
      <c r="BI15" s="1223">
        <f>IF(ISNUMBER('Resol  Asuntos'!D15/NºAsuntos!G15),'Resol  Asuntos'!D15/NºAsuntos!G15," - ")</f>
        <v>0.20780254777070065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99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193</v>
      </c>
      <c r="AC18" s="1215">
        <f>IF(ISNUMBER(Datos!Q18),Datos!Q18," - ")</f>
        <v>3</v>
      </c>
      <c r="AD18" s="1247"/>
      <c r="AE18" s="1262"/>
      <c r="AF18" s="1245">
        <f>IF(ISNUMBER(Datos!L18),Datos!L18,"-")</f>
        <v>194</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33</v>
      </c>
      <c r="BD18" s="1218">
        <f>IF(ISNUMBER(Datos!N18),Datos!N18," - ")</f>
        <v>99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0.65423728813559323</v>
      </c>
      <c r="BH18" s="1226">
        <f>IF(ISNUMBER(((IF(D_I="SI",Datos!L18/Datos!K18,(Datos!L18+Datos!AF18)/(Datos!K18+Datos!AE18)))*11)/factor_trimestre),((IF(D_I="SI",Datos!L18/Datos!K18,(Datos!L18+Datos!AF18)/(Datos!K18+Datos!AE18)))*11)/factor_trimestre," - ")</f>
        <v>3.0155440414507773</v>
      </c>
      <c r="BI18" s="1223">
        <f>IF(ISNUMBER('Resol  Asuntos'!D18/NºAsuntos!G18),'Resol  Asuntos'!D18/NºAsuntos!G18," - ")</f>
        <v>0.17098445595854922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4645</v>
      </c>
      <c r="G19" s="1391">
        <f>SUBTOTAL(9,G15:G18)</f>
        <v>4798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2705</v>
      </c>
      <c r="AC19" s="1392">
        <f t="shared" si="4"/>
        <v>202</v>
      </c>
      <c r="AD19" s="1392">
        <f t="shared" si="4"/>
        <v>0</v>
      </c>
      <c r="AE19" s="1392">
        <f t="shared" si="4"/>
        <v>0</v>
      </c>
      <c r="AF19" s="1392">
        <f t="shared" si="4"/>
        <v>4963</v>
      </c>
      <c r="AG19" s="1392">
        <f t="shared" si="4"/>
        <v>0</v>
      </c>
      <c r="AH19" s="1392">
        <f t="shared" si="4"/>
        <v>0</v>
      </c>
      <c r="AI19" s="1392">
        <f t="shared" si="4"/>
        <v>0</v>
      </c>
      <c r="AJ19" s="1392">
        <f t="shared" si="4"/>
        <v>0</v>
      </c>
      <c r="AK19" s="1392">
        <f t="shared" si="4"/>
        <v>0</v>
      </c>
      <c r="AL19" s="1392">
        <f t="shared" si="4"/>
        <v>0</v>
      </c>
      <c r="AM19" s="1392">
        <f t="shared" si="4"/>
        <v>742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555</v>
      </c>
      <c r="BD19" s="1392">
        <f t="shared" si="4"/>
        <v>1305</v>
      </c>
      <c r="BE19" s="1392">
        <f t="shared" si="4"/>
        <v>0</v>
      </c>
      <c r="BF19" s="1392">
        <f t="shared" si="4"/>
        <v>0</v>
      </c>
      <c r="BG19" s="1392">
        <f>IF(ISNUMBER(Datos!K19/Datos!J19),Datos!K19/Datos!J19," - ")</f>
        <v>0.92289321050835893</v>
      </c>
      <c r="BH19" s="1396">
        <f>IF(ISNUMBER(((Datos!L19/Datos!K19)*11)/factor_trimestre),((Datos!L19/Datos!K19)*11)/factor_trimestre," - ")</f>
        <v>5.5042513863216262</v>
      </c>
      <c r="BI19" s="1392">
        <f>SUBTOTAL(9,BI15:BI18)</f>
        <v>0.37878700372924989</v>
      </c>
      <c r="BJ19" s="1392">
        <f>SUBTOTAL(9,BJ15:BJ18)</f>
        <v>0</v>
      </c>
      <c r="BK19" s="1392">
        <f>SUBTOTAL(9,BK15:BK18)</f>
        <v>0</v>
      </c>
      <c r="BL19" s="1392">
        <f>IF(ISNUMBER((I19-AB19+L19)/(F19)),(I19-AB19+L19)/(F19)," - ")</f>
        <v>-0.58234660925726589</v>
      </c>
      <c r="BM19" s="1398">
        <f>IF(ISNUMBER((Datos!P19-Datos!Q19)/(Datos!R19-Datos!P19+Datos!Q19)),(Datos!P19-Datos!Q19)/(Datos!R19-Datos!P19+Datos!Q19)," - ")</f>
        <v>-0.12808460634547592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4748</v>
      </c>
      <c r="G20" s="1367">
        <f t="shared" si="6"/>
        <v>4901</v>
      </c>
      <c r="H20" s="1369">
        <f t="shared" si="6"/>
        <v>0</v>
      </c>
      <c r="I20" s="1367">
        <f t="shared" si="6"/>
        <v>0</v>
      </c>
      <c r="J20" s="1369">
        <f t="shared" si="6"/>
        <v>0</v>
      </c>
      <c r="K20" s="1369">
        <f t="shared" si="6"/>
        <v>0</v>
      </c>
      <c r="L20" s="1386">
        <f t="shared" si="6"/>
        <v>0</v>
      </c>
      <c r="M20" s="1386">
        <f t="shared" si="6"/>
        <v>0</v>
      </c>
      <c r="N20" s="1386">
        <f t="shared" si="6"/>
        <v>303</v>
      </c>
      <c r="O20" s="1386">
        <f t="shared" si="6"/>
        <v>0</v>
      </c>
      <c r="P20" s="1386">
        <f t="shared" si="6"/>
        <v>0</v>
      </c>
      <c r="Q20" s="1369">
        <f t="shared" si="6"/>
        <v>1081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2767</v>
      </c>
      <c r="AC20" s="1368">
        <f t="shared" si="7"/>
        <v>835</v>
      </c>
      <c r="AD20" s="1368">
        <f t="shared" si="7"/>
        <v>0</v>
      </c>
      <c r="AE20" s="1368">
        <f t="shared" si="7"/>
        <v>0</v>
      </c>
      <c r="AF20" s="1371">
        <f t="shared" si="7"/>
        <v>5036</v>
      </c>
      <c r="AG20" s="1371">
        <f t="shared" si="7"/>
        <v>0</v>
      </c>
      <c r="AH20" s="1371">
        <f t="shared" si="7"/>
        <v>517</v>
      </c>
      <c r="AI20" s="1371">
        <f t="shared" si="7"/>
        <v>0</v>
      </c>
      <c r="AJ20" s="1368">
        <f t="shared" si="7"/>
        <v>0</v>
      </c>
      <c r="AK20" s="1371">
        <f t="shared" si="7"/>
        <v>0</v>
      </c>
      <c r="AL20" s="1371">
        <f t="shared" si="7"/>
        <v>0</v>
      </c>
      <c r="AM20" s="1371">
        <f t="shared" si="7"/>
        <v>17274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2301</v>
      </c>
      <c r="BD20" s="1367">
        <f t="shared" si="7"/>
        <v>2411</v>
      </c>
      <c r="BE20" s="1367">
        <f t="shared" si="7"/>
        <v>0</v>
      </c>
      <c r="BF20" s="1373">
        <f t="shared" si="7"/>
        <v>0</v>
      </c>
      <c r="BG20" s="1404">
        <f>IF(ISNUMBER(Datos!K20/Datos!J20),Datos!K20/Datos!J20," - ")</f>
        <v>0.97609881296118062</v>
      </c>
      <c r="BH20" s="1404">
        <f>IF(ISNUMBER(((Datos!L20/Datos!K20)*11)/factor_trimestre),((Datos!L20/Datos!K20)*11)/factor_trimestre," - ")</f>
        <v>6.7710764174198843</v>
      </c>
      <c r="BI20" s="1362">
        <f>IF(ISNUMBER(Datos!J20/Datos!I20),Datos!J20/Datos!I20," - ")</f>
        <v>0.45710514738231411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-0.58277169334456613</v>
      </c>
      <c r="BM20" s="1387">
        <f>IF(ISNUMBER((Datos!P20-Datos!Q20+R20)/(Datos!R20-Datos!P20+Datos!Q20-R20)),(Datos!P20-Datos!Q20+R20)/(Datos!R20-Datos!P20+Datos!Q20-R20)," - ")</f>
        <v>1.4446793516560958E-2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1960.4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2622.3249226592802</v>
      </c>
      <c r="G22" s="1299">
        <f>IF(ISNUMBER(STDEV(G8:G19)),STDEV(G8:G19),"-")</f>
        <v>2545.4166260162597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1373.5969932989806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725.25693312619842</v>
      </c>
      <c r="BD22" s="1298"/>
      <c r="BE22" s="1298">
        <f>IF(ISNUMBER(STDEV(BE8:BE19)),STDEV(BE8:BE19),"-")</f>
        <v>0</v>
      </c>
      <c r="BF22" s="1303">
        <f>IF(ISNUMBER(STDEV(BF8:BF19)),STDEV(BF8:BF19),"-")</f>
        <v>0</v>
      </c>
      <c r="BG22" s="1360">
        <f>IF(ISNUMBER(STDEV(BG8:BG19)),STDEV(BG8:BG19),"-")</f>
        <v>0.40313729752770189</v>
      </c>
      <c r="BH22" s="1361">
        <f>IF(ISNUMBER(STDEV(BH8:BH19)),STDEV(BH8:BH19),"-")</f>
        <v>1.8676039769289763</v>
      </c>
      <c r="BI22" s="1224">
        <f>IF(ISNUMBER(STDEV(BI8:BI19)),STDEV(BI8:BI19),"-")</f>
        <v>0.1418312429096415</v>
      </c>
      <c r="BJ22" s="1219" t="str">
        <f>IF(ISNUMBER(BL22/BM22),BL22/BM22," - ")</f>
        <v xml:space="preserve"> - </v>
      </c>
      <c r="BK22" s="1320"/>
      <c r="BL22" s="1306">
        <f>IF(ISNUMBER(STDEV(BL8:BL19)),STDEV(BL8:BL19),"-")</f>
        <v>1.3855855181213463E-2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bPOQ0vHXKtfvkJ+hI6ljX4CCVe1T4lE/SF9R17/DmMh2tzAOVfhJq12rW2hu1Z+6NEUqM1BrjbcHHINZcAmLQ==" saltValue="dICODrKZCvu2W2u6YmFIM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LEON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932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599</v>
      </c>
      <c r="AA9" s="331" t="str">
        <f>IF(ISNUMBER(IF(J_V="SI",Datos!L9,Datos!L9+Datos!AB9)-IF(Monitorios="SI",Datos!CD9,0)),
                          IF(J_V="SI",Datos!L9,Datos!L9+Datos!AB9)-IF(Monitorios="SI",Datos!CD9,0),
                          " - ")</f>
        <v xml:space="preserve"> - </v>
      </c>
      <c r="AB9" s="333"/>
      <c r="AC9" s="333"/>
      <c r="AD9" s="483"/>
      <c r="AE9" s="483">
        <f>IF(ISNUMBER(Datos!R9),Datos!R9," - ")</f>
        <v>15954</v>
      </c>
      <c r="AF9" s="228" t="str">
        <f>IF(ISNUMBER(Datos!BV9),Datos!BV9," - ")</f>
        <v xml:space="preserve"> - </v>
      </c>
      <c r="AG9" s="224" t="str">
        <f>IF(ISNUMBER(Datos!DV9),Datos!DV9," - ")</f>
        <v xml:space="preserve"> - </v>
      </c>
      <c r="AH9" s="297"/>
      <c r="AI9" s="226"/>
      <c r="AJ9" s="224">
        <f>IF(ISNUMBER(Datos!M9),Datos!M9," - ")</f>
        <v>1591</v>
      </c>
      <c r="AK9" s="228">
        <f>IF(ISNUMBER(Datos!N9),Datos!N9," - ")</f>
        <v>827</v>
      </c>
      <c r="AL9" s="228" t="str">
        <f>IF(ISNUMBER(Datos!BW9),Datos!BW9," - ")</f>
        <v xml:space="preserve"> - </v>
      </c>
      <c r="AM9" s="227" t="str">
        <f>IF(ISNUMBER(Datos!BX9),Datos!BX9," - ")</f>
        <v xml:space="preserve"> - </v>
      </c>
      <c r="AN9" s="242"/>
      <c r="AO9" s="259">
        <f>IF(ISNUMBER(((NºAsuntos!I9/NºAsuntos!G9)*11)/factor_trimestre),((NºAsuntos!I9/NºAsuntos!G9)*11)/factor_trimestre," - ")</f>
        <v>7.8765393116514062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2.1317457269060879E-2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103</v>
      </c>
      <c r="G10" s="224">
        <f>IF(ISNUMBER(Datos!I10),Datos!I10," - ")</f>
        <v>103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62</v>
      </c>
      <c r="Z10" s="617">
        <f>IF(ISNUMBER(Datos!Q10),Datos!Q10," - ")</f>
        <v>4</v>
      </c>
      <c r="AA10" s="331">
        <f>IF(ISNUMBER(Datos!L10),Datos!L10,"-")</f>
        <v>73</v>
      </c>
      <c r="AB10" s="333"/>
      <c r="AC10" s="333"/>
      <c r="AD10" s="483"/>
      <c r="AE10" s="483">
        <f>IF(ISNUMBER(Datos!R10),Datos!R10," - ")</f>
        <v>99</v>
      </c>
      <c r="AF10" s="228" t="str">
        <f>IF(ISNUMBER(Datos!BV10),Datos!BV10," - ")</f>
        <v xml:space="preserve"> - </v>
      </c>
      <c r="AG10" s="224" t="str">
        <f>IF(ISNUMBER(Datos!DV10),Datos!DV10," - ")</f>
        <v xml:space="preserve"> - </v>
      </c>
      <c r="AH10" s="297"/>
      <c r="AI10" s="226"/>
      <c r="AJ10" s="224">
        <f>IF(ISNUMBER(Datos!M10),Datos!M10," - ")</f>
        <v>14</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3.5322580645161294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-3.8834951456310676E-2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56</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30</v>
      </c>
      <c r="AA11" s="331" t="str">
        <f>IF(ISNUMBER(IF(J_V="SI",Datos!L11,Datos!L11+Datos!AB11)-IF(Monitorios="SI",Datos!CD11,0)),
                          IF(J_V="SI",Datos!L11,Datos!L11+Datos!AB11)-IF(Monitorios="SI",Datos!CD11,0),
                          " - ")</f>
        <v xml:space="preserve"> - </v>
      </c>
      <c r="AB11" s="333"/>
      <c r="AC11" s="333"/>
      <c r="AD11" s="483"/>
      <c r="AE11" s="483">
        <f>IF(ISNUMBER(Datos!R11),Datos!R11," - ")</f>
        <v>479</v>
      </c>
      <c r="AF11" s="228" t="str">
        <f>IF(ISNUMBER(Datos!BV11),Datos!BV11," - ")</f>
        <v xml:space="preserve"> - </v>
      </c>
      <c r="AG11" s="224" t="str">
        <f>IF(ISNUMBER(Datos!DV11),Datos!DV11," - ")</f>
        <v xml:space="preserve"> - </v>
      </c>
      <c r="AH11" s="297"/>
      <c r="AI11" s="226"/>
      <c r="AJ11" s="224">
        <f>IF(ISNUMBER(Datos!M11),Datos!M11," - ")</f>
        <v>141</v>
      </c>
      <c r="AK11" s="228">
        <f>IF(ISNUMBER(Datos!N11),Datos!N11," - ")</f>
        <v>266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5.6367432150313164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5.7395143487858721E-2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12</v>
      </c>
      <c r="F13" s="895">
        <f>SUBTOTAL(9,F8:F12)</f>
        <v>103</v>
      </c>
      <c r="G13" s="895">
        <f>SUBTOTAL(9,G8:G12)</f>
        <v>103</v>
      </c>
      <c r="H13" s="905"/>
      <c r="I13" s="895">
        <f t="shared" ref="I13:N13" si="0">SUBTOTAL(9,I8:I12)</f>
        <v>0</v>
      </c>
      <c r="J13" s="864">
        <f t="shared" si="0"/>
        <v>0</v>
      </c>
      <c r="K13" s="905">
        <f t="shared" si="0"/>
        <v>0</v>
      </c>
      <c r="L13" s="905">
        <f t="shared" si="0"/>
        <v>0</v>
      </c>
      <c r="M13" s="905">
        <f t="shared" si="0"/>
        <v>0</v>
      </c>
      <c r="N13" s="905">
        <f t="shared" si="0"/>
        <v>988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62</v>
      </c>
      <c r="Z13" s="904">
        <f t="shared" si="2"/>
        <v>633</v>
      </c>
      <c r="AA13" s="897">
        <f t="shared" si="2"/>
        <v>73</v>
      </c>
      <c r="AB13" s="897">
        <f t="shared" si="2"/>
        <v>0</v>
      </c>
      <c r="AC13" s="897">
        <f t="shared" si="2"/>
        <v>0</v>
      </c>
      <c r="AD13" s="897">
        <f t="shared" si="2"/>
        <v>0</v>
      </c>
      <c r="AE13" s="897">
        <f t="shared" si="2"/>
        <v>16532</v>
      </c>
      <c r="AF13" s="905">
        <f t="shared" si="2"/>
        <v>0</v>
      </c>
      <c r="AG13" s="905">
        <f t="shared" si="2"/>
        <v>0</v>
      </c>
      <c r="AH13" s="905">
        <f t="shared" si="2"/>
        <v>0</v>
      </c>
      <c r="AI13" s="905">
        <f t="shared" si="2"/>
        <v>0</v>
      </c>
      <c r="AJ13" s="905">
        <f t="shared" si="2"/>
        <v>1746</v>
      </c>
      <c r="AK13" s="905">
        <f t="shared" si="2"/>
        <v>1106</v>
      </c>
      <c r="AL13" s="905">
        <f t="shared" si="2"/>
        <v>0</v>
      </c>
      <c r="AM13" s="905">
        <f t="shared" si="2"/>
        <v>0</v>
      </c>
      <c r="AN13" s="905">
        <f t="shared" si="2"/>
        <v>0</v>
      </c>
      <c r="AO13" s="901">
        <f>IF(ISNUMBER(((NºAsuntos!I13/NºAsuntos!G13)*11)/factor_trimestre),((NºAsuntos!I13/NºAsuntos!G13)*11)/factor_trimestre," - ")</f>
        <v>7.5145631067961176</v>
      </c>
      <c r="AP13" s="907" t="str">
        <f>IF(ISNUMBER(Datos!CI13/Datos!CJ13),Datos!CI13/Datos!CJ13," - ")</f>
        <v xml:space="preserve"> - </v>
      </c>
      <c r="AQ13" s="923">
        <f t="shared" ref="AQ13:AV13" si="3">SUBTOTAL(9,AQ9:AQ12)</f>
        <v>0</v>
      </c>
      <c r="AR13" s="923">
        <f t="shared" si="3"/>
        <v>3.9877649300608928E-2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4645</v>
      </c>
      <c r="G15" s="224">
        <f>IF(ISNUMBER(IF(D_I="SI",Datos!I15,Datos!I15+Datos!AC15)),IF(D_I="SI",Datos!I15,Datos!I15+Datos!AC15)," - ")</f>
        <v>4699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93</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2512</v>
      </c>
      <c r="Z15" s="617">
        <f>IF(ISNUMBER(Datos!Q15),Datos!Q15," - ")</f>
        <v>199</v>
      </c>
      <c r="AA15" s="331">
        <f>IF(ISNUMBER(IF(D_I="SI",Datos!L15,Datos!L15+Datos!AF15)),IF(D_I="SI",Datos!L15,Datos!L15+Datos!AF15)," - ")</f>
        <v>4769</v>
      </c>
      <c r="AB15" s="333"/>
      <c r="AC15" s="333"/>
      <c r="AD15" s="483"/>
      <c r="AE15" s="483">
        <f>IF(ISNUMBER(Datos!R15),Datos!R15," - ")</f>
        <v>736</v>
      </c>
      <c r="AF15" s="228" t="str">
        <f>IF(ISNUMBER(Datos!BV15),Datos!BV15," - ")</f>
        <v xml:space="preserve"> - </v>
      </c>
      <c r="AG15" s="224"/>
      <c r="AH15" s="297"/>
      <c r="AI15" s="226"/>
      <c r="AJ15" s="224">
        <f>IF(ISNUMBER(Datos!M15),Datos!M15," - ")</f>
        <v>522</v>
      </c>
      <c r="AK15" s="228">
        <f>IF(ISNUMBER(Datos!N15),Datos!N15," - ")</f>
        <v>1206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5.6954617834394909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99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193</v>
      </c>
      <c r="Z18" s="617">
        <f>IF(ISNUMBER(Datos!Q18),Datos!Q18," - ")</f>
        <v>3</v>
      </c>
      <c r="AA18" s="331">
        <f>IF(ISNUMBER(Datos!L18),Datos!L18,"-")</f>
        <v>194</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33</v>
      </c>
      <c r="AK18" s="228">
        <f>IF(ISNUMBER(Datos!N18),Datos!N18," - ")</f>
        <v>99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3.0155440414507773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4645</v>
      </c>
      <c r="G19" s="895">
        <f>SUBTOTAL(9,G15:G18)</f>
        <v>4798</v>
      </c>
      <c r="H19" s="927">
        <f>SUBTOTAL(9,H15:H18)</f>
        <v>0</v>
      </c>
      <c r="I19" s="908">
        <f>SUBTOTAL(9,I15:I18)</f>
        <v>0</v>
      </c>
      <c r="J19" s="864">
        <f>SUBTOTAL(9,J14:J18)</f>
        <v>0</v>
      </c>
      <c r="K19" s="927">
        <f t="shared" ref="K19:S19" si="4">SUBTOTAL(9,K15:K18)</f>
        <v>0</v>
      </c>
      <c r="L19" s="927">
        <f t="shared" si="4"/>
        <v>0</v>
      </c>
      <c r="M19" s="927">
        <f t="shared" si="4"/>
        <v>0</v>
      </c>
      <c r="N19" s="927">
        <f t="shared" si="4"/>
        <v>93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2705</v>
      </c>
      <c r="Z19" s="927">
        <f t="shared" si="5"/>
        <v>202</v>
      </c>
      <c r="AA19" s="927">
        <f t="shared" si="5"/>
        <v>4963</v>
      </c>
      <c r="AB19" s="927">
        <f t="shared" si="5"/>
        <v>0</v>
      </c>
      <c r="AC19" s="927">
        <f t="shared" si="5"/>
        <v>0</v>
      </c>
      <c r="AD19" s="927">
        <f t="shared" si="5"/>
        <v>0</v>
      </c>
      <c r="AE19" s="927">
        <f t="shared" si="5"/>
        <v>742</v>
      </c>
      <c r="AF19" s="927">
        <f t="shared" si="5"/>
        <v>0</v>
      </c>
      <c r="AG19" s="927">
        <f t="shared" si="5"/>
        <v>0</v>
      </c>
      <c r="AH19" s="927">
        <f t="shared" si="5"/>
        <v>0</v>
      </c>
      <c r="AI19" s="927">
        <f t="shared" si="5"/>
        <v>0</v>
      </c>
      <c r="AJ19" s="927">
        <f t="shared" si="5"/>
        <v>555</v>
      </c>
      <c r="AK19" s="927">
        <f t="shared" si="5"/>
        <v>1305</v>
      </c>
      <c r="AL19" s="927">
        <f t="shared" si="5"/>
        <v>0</v>
      </c>
      <c r="AM19" s="927">
        <f t="shared" si="5"/>
        <v>0</v>
      </c>
      <c r="AN19" s="927">
        <f t="shared" si="5"/>
        <v>0</v>
      </c>
      <c r="AO19" s="929">
        <f>IF(ISNUMBER(((NºAsuntos!I19/NºAsuntos!G19)*11)/factor_trimestre),((NºAsuntos!I19/NºAsuntos!G19)*11)/factor_trimestre," - ")</f>
        <v>5.5042513863216262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4748</v>
      </c>
      <c r="G20" s="817">
        <f t="shared" si="7"/>
        <v>4901</v>
      </c>
      <c r="H20" s="818">
        <f t="shared" si="7"/>
        <v>0</v>
      </c>
      <c r="I20" s="817">
        <f t="shared" si="7"/>
        <v>0</v>
      </c>
      <c r="J20" s="819">
        <f t="shared" si="7"/>
        <v>0</v>
      </c>
      <c r="K20" s="817">
        <f t="shared" si="7"/>
        <v>0</v>
      </c>
      <c r="L20" s="820">
        <f t="shared" si="7"/>
        <v>0</v>
      </c>
      <c r="M20" s="817">
        <f t="shared" si="7"/>
        <v>0</v>
      </c>
      <c r="N20" s="818">
        <f t="shared" si="7"/>
        <v>1081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2767</v>
      </c>
      <c r="Z20" s="824">
        <f t="shared" si="8"/>
        <v>835</v>
      </c>
      <c r="AA20" s="825">
        <f t="shared" si="8"/>
        <v>5036</v>
      </c>
      <c r="AB20" s="825">
        <f t="shared" si="8"/>
        <v>0</v>
      </c>
      <c r="AC20" s="825">
        <f t="shared" si="8"/>
        <v>0</v>
      </c>
      <c r="AD20" s="826">
        <f t="shared" si="8"/>
        <v>0</v>
      </c>
      <c r="AE20" s="826">
        <f t="shared" si="8"/>
        <v>17274</v>
      </c>
      <c r="AF20" s="827">
        <f t="shared" si="8"/>
        <v>0</v>
      </c>
      <c r="AG20" s="828">
        <f t="shared" si="8"/>
        <v>0</v>
      </c>
      <c r="AH20" s="829">
        <f t="shared" si="8"/>
        <v>0</v>
      </c>
      <c r="AI20" s="827">
        <f t="shared" si="8"/>
        <v>0</v>
      </c>
      <c r="AJ20" s="817">
        <f t="shared" si="8"/>
        <v>2301</v>
      </c>
      <c r="AK20" s="817">
        <f t="shared" si="8"/>
        <v>2411</v>
      </c>
      <c r="AL20" s="817">
        <f t="shared" si="8"/>
        <v>0</v>
      </c>
      <c r="AM20" s="830">
        <f t="shared" si="8"/>
        <v>0</v>
      </c>
      <c r="AN20" s="820">
        <f>IF(ISNUMBER(Datos!K20/Datos!J20),Datos!K20/Datos!J20," - ")</f>
        <v>0.97609881296118062</v>
      </c>
      <c r="AO20" s="820">
        <f>IF(ISNUMBER(FIND("06",Criterios!A8,1)),(IF(ISNUMBER(((Datos!R20/Datos!Q20)*11)/factor_trimestre),((Datos!R20/Datos!Q20)*11)/factor_trimestre," - ")),(IF(ISNUMBER(((Datos!L20/Datos!K20)*11)/factor_trimestre),((Datos!L20/Datos!K20)*11)/factor_trimestre," - ")))</f>
        <v>6.7710764174198843</v>
      </c>
      <c r="AP20" s="831" t="str">
        <f>IF(ISNUMBER(Datos!CI20/Datos!CJ20),Datos!CI20/Datos!CJ20," - ")</f>
        <v xml:space="preserve"> - </v>
      </c>
      <c r="AQ20" s="831">
        <f>IF(OR(ISNUMBER(FIND("01",Criterios!A8,1)),ISNUMBER(FIND("02",Criterios!A8,1)),ISNUMBER(FIND("03",Criterios!A8,1)),ISNUMBER(FIND("04",Criterios!A8,1))),(J20-Y20+K20)/(F20-K20),(I20-Y20+K20)/(F20-K20))</f>
        <v>-0.58277169334456613</v>
      </c>
      <c r="AR20" s="831">
        <f>IF(ISNUMBER((Datos!P20-Datos!Q20+O20)/(Datos!R20-Datos!P20+Datos!Q20-O20)),(Datos!P20-Datos!Q20+O20)/(Datos!R20-Datos!P20+Datos!Q20-O20)," - ")</f>
        <v>1.4446793516560958E-2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1960.4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2622.3249226592802</v>
      </c>
      <c r="G22" s="551">
        <f>IF(ISNUMBER(STDEV(G8:G19)),STDEV(G8:G19),"-")</f>
        <v>2545.4166260162597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725.25693312619842</v>
      </c>
      <c r="AK22" s="251"/>
      <c r="AL22" s="251">
        <f>IF(ISNUMBER(STDEV(AL8:AL19)),STDEV(AL8:AL19),"-")</f>
        <v>0</v>
      </c>
      <c r="AM22" s="253">
        <f>IF(ISNUMBER(STDEV(AM8:AM19)),STDEV(AM8:AM19),"-")</f>
        <v>0</v>
      </c>
      <c r="AN22" s="538">
        <f>IF(ISNUMBER(STDEV(AN8:AN19)),STDEV(AN8:AN19),"-")</f>
        <v>0</v>
      </c>
      <c r="AO22" s="539">
        <f>IF(ISNUMBER(STDEV(AO8:AO19)),STDEV(AO8:AO19),"-")</f>
        <v>1.8164536643535527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n24rlzyNiN8/7x6ovQzfWUyK1tnxEityT8NbBs54T1iQWy5y5P4Vsu19BTkf/u2vzheH0wgXhGtcKil09mmZg==" saltValue="7iEqGAh5FbEUYIHjNGEz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Q0uCq8TJcEDu7YcXtLSVh9uegW8JtufwvLsmQS5yI1B0YK6JuTTdcBLmv34QTCi4MI5juZb1xbB4aANzOxLMw==" saltValue="5FGbh39sQbLHriE0sa6/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Jh8rxGkOuXZpbTXIHyCvKcUcctrfPIZ0eipS71YebNCyKOnDn2gPvlfjJOlm7WGxOiSIQOXZtRTjV8BaCTXNA==" saltValue="XQSxbItuoHAQMwY6F/dE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LEON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0.470873786407767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0.33295804745191804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EPKcf1tJz6I3qbiJfAH2EAzt3GdNfIferFstwPKZsK0uibyKQ6BReSmNMzk8Klk/F0VOTU8OIe0jUzlYvtwAg==" saltValue="c+Y3aMOmfr2detOj+ZVy6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OLxakOpP550ePpzOh7vbAlK3R6R7ye7P+CKi5MW9AMgZfPLEjLGPV0Zr9SU0Nx7GhtDAo3jp30/KvTrbV/VlA==" saltValue="uhSw24j5GiIDElINWiX+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LEON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9</v>
      </c>
      <c r="C9" s="402">
        <f>IF(ISNUMBER(IF(J_V="SI",Datos!I9,Datos!I9+Datos!Y9)),IF(J_V="SI",Datos!I9,Datos!I9+Datos!Y9)," - ")</f>
        <v>8395</v>
      </c>
      <c r="D9" s="403">
        <f>IF(ISNUMBER(C9/Datos!BH9),C9/Datos!BH9," - ")</f>
        <v>932.77777777777783</v>
      </c>
      <c r="E9" s="402">
        <f>IF(ISNUMBER(IF(J_V="SI",Datos!J9,Datos!J9+Datos!Z9)),IF(J_V="SI",Datos!J9,Datos!J9+Datos!Z9)," - ")</f>
        <v>3079</v>
      </c>
      <c r="F9" s="403">
        <f>IF(ISNUMBER(E9/B9),E9/B9," - ")</f>
        <v>342.11111111111109</v>
      </c>
      <c r="G9" s="402">
        <f>IF(ISNUMBER(IF(J_V="SI",Datos!K9,Datos!K9+Datos!AA9)),IF(J_V="SI",Datos!K9,Datos!K9+Datos!AA9)," - ")</f>
        <v>3167</v>
      </c>
      <c r="H9" s="403">
        <f>IF(ISNUMBER(G9/B9),G9/B9," - ")</f>
        <v>351.88888888888891</v>
      </c>
      <c r="I9" s="402">
        <f>IF(ISNUMBER(IF(J_V="SI",Datos!L9,Datos!L9+Datos!AB9)),IF(J_V="SI",Datos!L9,Datos!L9+Datos!AB9)," - ")</f>
        <v>8315</v>
      </c>
      <c r="J9" s="403">
        <f>IF(ISNUMBER(I9/B9),I9/B9," - ")</f>
        <v>923.88888888888891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103</v>
      </c>
      <c r="D10" s="403">
        <f>IF(ISNUMBER(C10/Datos!BH10),C10/Datos!BH10," - ")</f>
        <v>103</v>
      </c>
      <c r="E10" s="402">
        <f>IF(ISNUMBER(Datos!J10),Datos!J10," - ")</f>
        <v>32</v>
      </c>
      <c r="F10" s="403">
        <f>IF(ISNUMBER(E10/B10),E10/B10," - ")</f>
        <v>16</v>
      </c>
      <c r="G10" s="402">
        <f>IF(ISNUMBER(Datos!K10),Datos!K10," - ")</f>
        <v>62</v>
      </c>
      <c r="H10" s="403">
        <f>IF(ISNUMBER(G10/B10),G10/B10," - ")</f>
        <v>31</v>
      </c>
      <c r="I10" s="402">
        <f>IF(ISNUMBER(Datos!L10),Datos!L10," - ")</f>
        <v>73</v>
      </c>
      <c r="J10" s="403">
        <f>IF(ISNUMBER(I10/B10),I10/B10," - ")</f>
        <v>36.5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884</v>
      </c>
      <c r="D11" s="403">
        <f>IF(ISNUMBER(C11/Datos!BH11),C11/Datos!BH11," - ")</f>
        <v>176.8</v>
      </c>
      <c r="E11" s="402">
        <f>IF(ISNUMBER(IF(J_V="SI",Datos!J11,Datos!J11+Datos!Z11)),IF(J_V="SI",Datos!J11,Datos!J11+Datos!Z11)," - ")</f>
        <v>495</v>
      </c>
      <c r="F11" s="403">
        <f>IF(ISNUMBER(E11/B11),E11/B11," - ")</f>
        <v>165</v>
      </c>
      <c r="G11" s="402">
        <f>IF(ISNUMBER(IF(J_V="SI",Datos!K11,Datos!K11+Datos!AA11)),IF(J_V="SI",Datos!K11,Datos!K11+Datos!AA11)," - ")</f>
        <v>479</v>
      </c>
      <c r="H11" s="403">
        <f>IF(ISNUMBER(G11/B11),G11/B11," - ")</f>
        <v>159.66666666666666</v>
      </c>
      <c r="I11" s="402">
        <f>IF(ISNUMBER(IF(J_V="SI",Datos!L11,Datos!L11+Datos!AB11)),IF(J_V="SI",Datos!L11,Datos!L11+Datos!AB11)," - ")</f>
        <v>900</v>
      </c>
      <c r="J11" s="403">
        <f>IF(ISNUMBER(I11/B11),I11/B11," - ")</f>
        <v>300</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13</v>
      </c>
      <c r="C13" s="846">
        <f>SUBTOTAL(9,C8:C12)</f>
        <v>9382</v>
      </c>
      <c r="D13" s="847" t="str">
        <f>IF(ISNUMBER(C13/Datos!BI13),C13/Datos!BI13," - ")</f>
        <v xml:space="preserve"> - </v>
      </c>
      <c r="E13" s="846">
        <f>SUBTOTAL(9,E8:E12)</f>
        <v>3606</v>
      </c>
      <c r="F13" s="847">
        <f>IF(ISNUMBER(E13/B13),E13/B13," - ")</f>
        <v>277.38461538461536</v>
      </c>
      <c r="G13" s="846">
        <f>SUBTOTAL(9,G8:G12)</f>
        <v>3708</v>
      </c>
      <c r="H13" s="847">
        <f>IF(ISNUMBER(G13/B13),G13/B13," - ")</f>
        <v>285.23076923076923</v>
      </c>
      <c r="I13" s="846">
        <f>SUBTOTAL(9,I8:I12)</f>
        <v>9288</v>
      </c>
      <c r="J13" s="847">
        <f>IF(ISNUMBER(I13/B13),I13/B13," - ")</f>
        <v>714.46153846153845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4699</v>
      </c>
      <c r="D15" s="403">
        <f>IF(ISNUMBER(C15/Datos!BH15),C15/Datos!BH15," - ")</f>
        <v>939.8</v>
      </c>
      <c r="E15" s="402">
        <f>IF(ISNUMBER(IF(D_I="SI",Datos!J15,Datos!J15+Datos!AD15)),IF(D_I="SI",Datos!J15,Datos!J15+Datos!AD15)," - ")</f>
        <v>2636</v>
      </c>
      <c r="F15" s="403">
        <f>IF(ISNUMBER(E15/B15),E15/B15," - ")</f>
        <v>527.20000000000005</v>
      </c>
      <c r="G15" s="402">
        <f>IF(ISNUMBER(IF(D_I="SI",Datos!K15,Datos!K15+Datos!AE15)),IF(D_I="SI",Datos!K15,Datos!K15+Datos!AE15)," - ")</f>
        <v>2512</v>
      </c>
      <c r="H15" s="403">
        <f>IF(ISNUMBER(G15/B15),G15/B15," - ")</f>
        <v>502.4</v>
      </c>
      <c r="I15" s="402">
        <f>IF(ISNUMBER(IF(D_I="SI",Datos!L15,Datos!L15+Datos!AF15)),IF(D_I="SI",Datos!L15,Datos!L15+Datos!AF15)," - ")</f>
        <v>4769</v>
      </c>
      <c r="J15" s="403">
        <f>IF(ISNUMBER(I15/B15),I15/B15," - ")</f>
        <v>953.8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99</v>
      </c>
      <c r="D18" s="403">
        <f>IF(ISNUMBER(C18/Datos!BH18),C18/Datos!BH18," - ")</f>
        <v>99</v>
      </c>
      <c r="E18" s="402">
        <f>IF(ISNUMBER(IF(D_I="SI",Datos!J18,Datos!J18+Datos!AD18)),IF(D_I="SI",Datos!J18,Datos!J18+Datos!AD18)," - ")</f>
        <v>295</v>
      </c>
      <c r="F18" s="403">
        <f>IF(ISNUMBER(E18/B18),E18/B18," - ")</f>
        <v>147.5</v>
      </c>
      <c r="G18" s="402">
        <f>IF(ISNUMBER(IF(D_I="SI",Datos!K18,Datos!K18+Datos!AE18)),IF(D_I="SI",Datos!K18,Datos!K18+Datos!AE18)," - ")</f>
        <v>193</v>
      </c>
      <c r="H18" s="403">
        <f>IF(ISNUMBER(G18/B18),G18/B18," - ")</f>
        <v>96.5</v>
      </c>
      <c r="I18" s="402">
        <f>IF(ISNUMBER(IF(D_I="SI",Datos!L18,Datos!L18+Datos!AF18)),IF(D_I="SI",Datos!L18,Datos!L18+Datos!AF18)," - ")</f>
        <v>194</v>
      </c>
      <c r="J18" s="403">
        <f>IF(ISNUMBER(I18/B18),I18/B18," - ")</f>
        <v>97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4798</v>
      </c>
      <c r="D19" s="847" t="str">
        <f>IF(ISNUMBER(C19/Datos!BI19),C19/Datos!BI19," - ")</f>
        <v xml:space="preserve"> - </v>
      </c>
      <c r="E19" s="846">
        <f>SUBTOTAL(9,E14:E18)</f>
        <v>2931</v>
      </c>
      <c r="F19" s="847">
        <f>IF(ISNUMBER(E19/B19),E19/B19," - ")</f>
        <v>488.5</v>
      </c>
      <c r="G19" s="846">
        <f>SUBTOTAL(9,G14:G18)</f>
        <v>2705</v>
      </c>
      <c r="H19" s="847">
        <f>IF(ISNUMBER(G19/B19),G19/B19," - ")</f>
        <v>450.83333333333331</v>
      </c>
      <c r="I19" s="846">
        <f>SUBTOTAL(9,I14:I18)</f>
        <v>4963</v>
      </c>
      <c r="J19" s="847">
        <f>IF(ISNUMBER(I19/B19),I19/B19," - ")</f>
        <v>827.16666666666663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18</v>
      </c>
      <c r="C20" s="791">
        <f>SUBTOTAL(9,C9:C19)</f>
        <v>14180</v>
      </c>
      <c r="D20" s="792" t="str">
        <f>IF(ISNUMBER(C20/Datos!BI20),C20/Datos!BI20," - ")</f>
        <v xml:space="preserve"> - </v>
      </c>
      <c r="E20" s="791">
        <f>SUBTOTAL(9,E9:E19)</f>
        <v>6537</v>
      </c>
      <c r="F20" s="792">
        <f>IF(ISNUMBER(E20/B20),E20/B20," - ")</f>
        <v>363.16666666666669</v>
      </c>
      <c r="G20" s="791">
        <f>SUBTOTAL(9,G9:G19)</f>
        <v>6413</v>
      </c>
      <c r="H20" s="792">
        <f>IF(ISNUMBER(G20/B20),G20/B20," - ")</f>
        <v>356.27777777777777</v>
      </c>
      <c r="I20" s="791">
        <f>SUBTOTAL(9,I9:I19)</f>
        <v>14251</v>
      </c>
      <c r="J20" s="792">
        <f>IF(ISNUMBER(I20/B20),I20/B20," - ")</f>
        <v>791.72222222222217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J0oMjrWlqccohjs3uJvcbqCuaYs/9jrb66OmqEq1OpdIs2dUpNyaLUU4/mIr3pO8WYii3Be9iula89ojZq0LA==" saltValue="Z73XIKBVZ3rkBHhc8kJ7w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LEON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9</v>
      </c>
      <c r="B9" s="500" t="s">
        <v>247</v>
      </c>
      <c r="C9" s="159" t="str">
        <f>Datos!A9</f>
        <v>Sección Civil del T.I</v>
      </c>
      <c r="D9" s="501"/>
      <c r="E9" s="679">
        <f>IF(ISNUMBER(Datos!AQ9),Datos!AQ9," - ")</f>
        <v>9</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103</v>
      </c>
      <c r="G10" s="681">
        <f>IF(ISNUMBER(Datos!I10),Datos!I10," - ")</f>
        <v>103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62</v>
      </c>
      <c r="AC10" s="680" t="str">
        <f>IF(ISNUMBER(IF(D_I="SI",DatosP!K18,DatosP!K18+DatosP!AE18)),IF(D_I="SI",DatosP!K18,DatosP!K18+DatosP!AE18)," - ")</f>
        <v xml:space="preserve"> - </v>
      </c>
      <c r="AD10" s="682"/>
      <c r="AE10" s="682"/>
      <c r="AF10" s="685">
        <f>IF(ISNUMBER(Datos!L10),Datos!L10,"-")</f>
        <v>73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13</v>
      </c>
      <c r="AN10" s="687">
        <f>IF(ISNUMBER(Datos!BW10+DatosP!BW18),Datos!BW10+DatosP!BW18," - ")</f>
        <v>0</v>
      </c>
      <c r="AO10" s="688">
        <f>IF(ISNUMBER(Datos!BX10+DatosP!BX18),Datos!BX10+DatosP!BX18," - ")</f>
        <v>0</v>
      </c>
      <c r="AP10" s="690">
        <f>IF(ISNUMBER(((Datos!L10/Datos!K10)*11)/factor_trimestre),((Datos!L10/Datos!K10)*11)/factor_trimestre," - ")</f>
        <v>3.5322580645161294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12</v>
      </c>
      <c r="F13" s="933">
        <f t="shared" si="0"/>
        <v>103</v>
      </c>
      <c r="G13" s="933">
        <f t="shared" si="0"/>
        <v>103</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62</v>
      </c>
      <c r="AC13" s="934">
        <f t="shared" si="1"/>
        <v>0</v>
      </c>
      <c r="AD13" s="934">
        <f t="shared" si="1"/>
        <v>0</v>
      </c>
      <c r="AE13" s="934">
        <f t="shared" si="1"/>
        <v>0</v>
      </c>
      <c r="AF13" s="934">
        <f t="shared" si="1"/>
        <v>73</v>
      </c>
      <c r="AG13" s="934">
        <f t="shared" si="1"/>
        <v>0</v>
      </c>
      <c r="AH13" s="934">
        <f t="shared" si="1"/>
        <v>0</v>
      </c>
      <c r="AI13" s="934">
        <f t="shared" si="1"/>
        <v>0</v>
      </c>
      <c r="AJ13" s="934">
        <f t="shared" si="1"/>
        <v>0</v>
      </c>
      <c r="AK13" s="934">
        <f t="shared" si="1"/>
        <v>0</v>
      </c>
      <c r="AL13" s="934">
        <f t="shared" si="1"/>
        <v>14</v>
      </c>
      <c r="AM13" s="934">
        <f t="shared" si="1"/>
        <v>13</v>
      </c>
      <c r="AN13" s="934">
        <f t="shared" si="1"/>
        <v>0</v>
      </c>
      <c r="AO13" s="934">
        <f t="shared" si="1"/>
        <v>0</v>
      </c>
      <c r="AP13" s="939">
        <f>IF(ISNUMBER(((Datos!L13/Datos!K13)*11)/factor_trimestre),((Datos!L13/Datos!K13)*11)/factor_trimestre," - ")</f>
        <v>7.7849112426035507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-0.60194174757281549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5.5042513863216262</v>
      </c>
      <c r="AQ19" s="939">
        <f>IF(ISNUMBER(((Datos!M19/Datos!L19)*11)/factor_trimestre),((Datos!M19/Datos!L19)*11)/factor_trimestre," - ")</f>
        <v>0.33548257102558937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-0.12808460634547592</v>
      </c>
      <c r="AW19" s="941">
        <f>IF(ISNUMBER((Datos!Q19-Datos!R19)/(Datos!S19-Datos!Q19+Datos!R19)),(Datos!Q19-Datos!R19)/(Datos!S19-Datos!Q19+Datos!R19)," - ")</f>
        <v>-9.6034145473946286E-2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12</v>
      </c>
      <c r="F20" s="946">
        <f t="shared" si="4"/>
        <v>103</v>
      </c>
      <c r="G20" s="946">
        <f t="shared" si="4"/>
        <v>103</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62</v>
      </c>
      <c r="AC20" s="952">
        <f t="shared" si="5"/>
        <v>0</v>
      </c>
      <c r="AD20" s="952">
        <f t="shared" si="5"/>
        <v>0</v>
      </c>
      <c r="AE20" s="952">
        <f t="shared" si="5"/>
        <v>0</v>
      </c>
      <c r="AF20" s="953">
        <f t="shared" si="5"/>
        <v>73</v>
      </c>
      <c r="AG20" s="953">
        <f t="shared" si="5"/>
        <v>0</v>
      </c>
      <c r="AH20" s="953">
        <f t="shared" si="5"/>
        <v>0</v>
      </c>
      <c r="AI20" s="953">
        <f t="shared" si="5"/>
        <v>0</v>
      </c>
      <c r="AJ20" s="954">
        <f t="shared" si="5"/>
        <v>0</v>
      </c>
      <c r="AK20" s="954">
        <f t="shared" si="5"/>
        <v>0</v>
      </c>
      <c r="AL20" s="946">
        <f t="shared" si="5"/>
        <v>14</v>
      </c>
      <c r="AM20" s="946">
        <f t="shared" si="5"/>
        <v>13</v>
      </c>
      <c r="AN20" s="946">
        <f t="shared" si="5"/>
        <v>0</v>
      </c>
      <c r="AO20" s="946">
        <f t="shared" si="5"/>
        <v>0</v>
      </c>
      <c r="AP20" s="946">
        <f>IF(ISNUMBER(((Datos!L20/Datos!K20)*11)/factor_trimestre),((Datos!L20/Datos!K20)*11)/factor_trimestre," - ")</f>
        <v>6.7710764174198843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-0.60194174757281549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1.4446793516560958E-2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68.666666666666671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5.1768716422179137</v>
      </c>
      <c r="F22" s="733">
        <f>IF(ISNUMBER(STDEV(F8:F19)),STDEV(F8:F19),"-")</f>
        <v>59.46707772653145</v>
      </c>
      <c r="G22" s="734">
        <f>IF(ISNUMBER(STDEV(G8:G19)),STDEV(G8:G19),"-")</f>
        <v>59.46707772653145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35.795716689756802</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2.12819274246164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5kTpdSbm+FsHM+ItECTr0txWwe4qJIs4CoQyZsN8iuEGxe2IJXAZi01xQoPgHnY/6hTzo8vZKNQAealoAM0Ggg==" saltValue="LXJLK1PbNNs9lGe30GOW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LEON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9</v>
      </c>
      <c r="B9" s="500" t="s">
        <v>247</v>
      </c>
      <c r="C9" s="159" t="str">
        <f>Datos!A9</f>
        <v>Sección Civil del T.I</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134</v>
      </c>
      <c r="O9" s="333"/>
      <c r="P9" s="333"/>
      <c r="Q9" s="225">
        <f>IF(ISNUMBER(Datos!P9),Datos!P9,0)</f>
        <v>932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599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170</v>
      </c>
      <c r="AI9" s="224" t="str">
        <f>IF(ISNUMBER(Datos!CD9),Datos!CD9,"-")</f>
        <v>-</v>
      </c>
      <c r="AJ9" s="1214" t="str">
        <f>IF(ISNUMBER(Datos!EN9),Datos!EN9," - ")</f>
        <v xml:space="preserve"> - </v>
      </c>
      <c r="AK9" s="333"/>
      <c r="AL9" s="478"/>
      <c r="AM9" s="1214">
        <f>IF(ISNUMBER(Datos!R9),Datos!R9," - ")</f>
        <v>15954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1591</v>
      </c>
      <c r="BD9" s="228">
        <f>IF(ISNUMBER(Datos!N9),Datos!N9," - ")</f>
        <v>827</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1.028580708022085</v>
      </c>
      <c r="BH9" s="1214">
        <f>IF(ISNUMBER(((IF(J_V="SI",Datos!L9/Datos!K9,(Datos!L9+Datos!AB9)/(Datos!K9+Datos!AA9)))*11)/factor_trimestre),((IF(J_V="SI",Datos!L9/Datos!K9,(Datos!L9+Datos!AB9)/(Datos!K9+Datos!AA9)))*11)/factor_trimestre," - ")</f>
        <v>7.8765393116514062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2.1317457269060879E-2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967.45969932989806</v>
      </c>
      <c r="CF9" s="228">
        <f ca="1">AVERAGEIFS($AB:$AB,$BW:$BW,BW9,$BX:$BX,BX9)</f>
        <v>967.45969932989806</v>
      </c>
      <c r="CG9" s="1191">
        <v>0.7</v>
      </c>
      <c r="CH9" s="1191">
        <f ca="1">AVERAGEIF($BW:$BW,$BW9,$AC:$AC)</f>
        <v>227.72727272727272</v>
      </c>
      <c r="CI9" s="228">
        <f ca="1">AVERAGEIFS($AC:$AC,$BW:$BW,$BW9,$BX:$BX,$BX9)</f>
        <v>227.72727272727272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1678.6666666666667</v>
      </c>
      <c r="CR9" s="228">
        <f ca="1">AVERAGEIFS($AF:$AF,$BW:$BW,BW9,$BX:$BX,BX9)</f>
        <v>1678.6666666666667</v>
      </c>
      <c r="CS9" s="1191">
        <v>1.3</v>
      </c>
      <c r="CT9" s="1191">
        <v>1.5</v>
      </c>
      <c r="CU9" s="1191">
        <f ca="1">AVERAGEIF($BW:$BW,$BW9,$AH:$AH)</f>
        <v>193.875</v>
      </c>
      <c r="CV9" s="228">
        <f ca="1">AVERAGEIFS($AH:$AH,$BW:$BW,$BW9,$BX:$BX,$BX9)</f>
        <v>193.875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4711.090909090909</v>
      </c>
      <c r="DH9" s="1218">
        <f ca="1">AVERAGEIFS($AM:$AM,$BW:$BW,$BW9,$BX:$BX,$BX9)</f>
        <v>4711.090909090909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3.9736991199469291</v>
      </c>
      <c r="ER9" s="1218">
        <f ca="1">AVERAGEIFS($BH:$BH,$BW:$BW,$BW9,$BX:$BX,$BX9)</f>
        <v>3.9736991199469291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103</v>
      </c>
      <c r="G10" s="332">
        <f>IF(ISNUMBER(Datos!I10),Datos!I10," - ")</f>
        <v>103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62</v>
      </c>
      <c r="AC10" s="224">
        <f>IF(ISNUMBER(Datos!Q10),Datos!Q10," - ")</f>
        <v>4</v>
      </c>
      <c r="AD10" s="224"/>
      <c r="AE10" s="224"/>
      <c r="AF10" s="224">
        <f>IF(ISNUMBER(Datos!L10),Datos!L10,"-")</f>
        <v>73</v>
      </c>
      <c r="AG10" s="333"/>
      <c r="AH10" s="224"/>
      <c r="AI10" s="224"/>
      <c r="AJ10" s="1214"/>
      <c r="AK10" s="333"/>
      <c r="AL10" s="478"/>
      <c r="AM10" s="1214">
        <f>IF(ISNUMBER(Datos!R10),Datos!R10," - ")</f>
        <v>99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13</v>
      </c>
      <c r="BE10" s="1214" t="str">
        <f>IF(ISNUMBER(Datos!BW10),Datos!BW10," - ")</f>
        <v xml:space="preserve"> - </v>
      </c>
      <c r="BF10" s="1214" t="str">
        <f>IF(ISNUMBER(Datos!BX10),Datos!BX10," - ")</f>
        <v xml:space="preserve"> - </v>
      </c>
      <c r="BG10" s="242">
        <f>IF(ISNUMBER(Datos!K10/Datos!J10),Datos!K10/Datos!J10," - ")</f>
        <v>1.9375</v>
      </c>
      <c r="BH10" s="1214">
        <f>IF(ISNUMBER(((Datos!L10/Datos!K10)*11)/factor_trimestre),((Datos!L10/Datos!K10)*11)/factor_trimestre," - ")</f>
        <v>3.5322580645161294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-3.8834951456310676E-2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967.45969932989806</v>
      </c>
      <c r="CF10" s="228">
        <f ca="1">AVERAGEIFS($AB:$AB,$BW:$BW,BW10,$BX:$BX,BX10)</f>
        <v>967.45969932989806</v>
      </c>
      <c r="CG10" s="1191">
        <v>0.7</v>
      </c>
      <c r="CH10" s="1191">
        <f ca="1">AVERAGEIF($BW:$BW,BW10,$AC:$AC)</f>
        <v>227.72727272727272</v>
      </c>
      <c r="CI10" s="228">
        <f ca="1">AVERAGEIFS($AC:$AC,$BW:$BW,BW10,$BX:$BX,BX10)</f>
        <v>227.72727272727272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1678.6666666666667</v>
      </c>
      <c r="CR10" s="228">
        <f ca="1">AVERAGEIFS($AF:$AF,$BW:$BW,BW10,$BX:$BX,BX10)</f>
        <v>1678.6666666666667</v>
      </c>
      <c r="CS10" s="1191">
        <v>1.3</v>
      </c>
      <c r="CT10" s="1191">
        <v>1.5</v>
      </c>
      <c r="CU10" s="1191">
        <f ca="1">AVERAGEIF($BW:$BW,$BW10,$AH:$AH)</f>
        <v>193.875</v>
      </c>
      <c r="CV10" s="228">
        <f ca="1">AVERAGEIFS($AH:$AH,$BW:$BW,$BW10,$BX:$BX,$BX10)</f>
        <v>193.875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4711.090909090909</v>
      </c>
      <c r="DH10" s="1218">
        <f ca="1">AVERAGEIFS($AM:$AM,$BW:$BW,$BW10,$BX:$BX,$BX10)</f>
        <v>4711.090909090909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3.9736991199469291</v>
      </c>
      <c r="ER10" s="1218">
        <f ca="1">AVERAGEIFS($BH:$BH,$BW:$BW,$BW10,$BX:$BX,$BX10)</f>
        <v>3.9736991199469291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169</v>
      </c>
      <c r="O11" s="333"/>
      <c r="P11" s="333"/>
      <c r="Q11" s="225">
        <f>IF(ISNUMBER(Datos!P11),Datos!P11,0)</f>
        <v>56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30</v>
      </c>
      <c r="AD11" s="224"/>
      <c r="AE11" s="224"/>
      <c r="AF11" s="224" t="str">
        <f>IF(ISNUMBER(IF(J_V="SI",Datos!L11,Datos!L11+Datos!AB11)-IF(Monitorios="SI",Datos!CD11,0)),
                          IF(J_V="SI",Datos!L11,Datos!L11+Datos!AB11)-IF(Monitorios="SI",Datos!CD11,0),
                          " - ")</f>
        <v xml:space="preserve"> - </v>
      </c>
      <c r="AG11" s="333"/>
      <c r="AH11" s="224">
        <f>IF(ISNUMBER(Datos!AB11),Datos!AB11,"-")</f>
        <v>347</v>
      </c>
      <c r="AI11" s="224"/>
      <c r="AJ11" s="1214"/>
      <c r="AK11" s="333"/>
      <c r="AL11" s="478"/>
      <c r="AM11" s="1214">
        <f>IF(ISNUMBER(Datos!R11),Datos!R11," - ")</f>
        <v>479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141</v>
      </c>
      <c r="BD11" s="228">
        <f>IF(ISNUMBER(Datos!N11),Datos!N11," - ")</f>
        <v>266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0.96767676767676769</v>
      </c>
      <c r="BH11" s="1214">
        <f>IF(ISNUMBER(((IF(J_V="SI",Datos!L11/Datos!K11,(Datos!L11+Datos!AB11)/(Datos!K11+Datos!AA11)))*11)/factor_trimestre),((IF(J_V="SI",Datos!L11/Datos!K11,(Datos!L11+Datos!AB11)/(Datos!K11+Datos!AA11)))*11)/factor_trimestre," - ")</f>
        <v>5.6367432150313164</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5.7395143487858721E-2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967.45969932989806</v>
      </c>
      <c r="CF11" s="228">
        <f ca="1">AVERAGEIFS($AB:$AB,$BW:$BW,BW11,$BX:$BX,BX11)</f>
        <v>967.45969932989806</v>
      </c>
      <c r="CG11" s="1191">
        <v>0.7</v>
      </c>
      <c r="CH11" s="1191">
        <f ca="1">AVERAGEIF($BW:$BW,BW11,$AC:$AC)</f>
        <v>227.72727272727272</v>
      </c>
      <c r="CI11" s="228">
        <f ca="1">AVERAGEIFS($AC:$AC,$BW:$BW,BW11,$BX:$BX,BX11)</f>
        <v>227.72727272727272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1678.6666666666667</v>
      </c>
      <c r="CR11" s="228">
        <f ca="1">AVERAGEIFS($AF:$AF,$BW:$BW,BW11,$BX:$BX,BX11)</f>
        <v>1678.6666666666667</v>
      </c>
      <c r="CS11" s="1191">
        <v>1.3</v>
      </c>
      <c r="CT11" s="1191">
        <v>1.5</v>
      </c>
      <c r="CU11" s="1191">
        <f ca="1">AVERAGEIF($BW:$BW,$BW11,$AH:$AH)</f>
        <v>193.875</v>
      </c>
      <c r="CV11" s="228">
        <f ca="1">AVERAGEIFS($AH:$AH,$BW:$BW,$BW11,$BX:$BX,$BX11)</f>
        <v>193.875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4711.090909090909</v>
      </c>
      <c r="DH11" s="1218">
        <f ca="1">AVERAGEIFS($AM:$AM,$BW:$BW,$BW11,$BX:$BX,$BX11)</f>
        <v>4711.090909090909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3.9736991199469291</v>
      </c>
      <c r="ER11" s="1218">
        <f ca="1">AVERAGEIFS($BH:$BH,$BW:$BW,$BW11,$BX:$BX,$BX11)</f>
        <v>3.9736991199469291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967.45969932989806</v>
      </c>
      <c r="CF12" s="228">
        <f ca="1">AVERAGEIFS($AB:$AB,$BW:$BW,BW12,$BX:$BX,BX12)</f>
        <v>967.45969932989806</v>
      </c>
      <c r="CG12" s="1191">
        <v>0.7</v>
      </c>
      <c r="CH12" s="1191">
        <f ca="1">AVERAGEIF($BW:$BW,BW12,$AC:$AC)</f>
        <v>227.72727272727272</v>
      </c>
      <c r="CI12" s="228">
        <f ca="1">AVERAGEIFS($AC:$AC,$BW:$BW,BW12,$BX:$BX,BX12)</f>
        <v>227.72727272727272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1678.6666666666667</v>
      </c>
      <c r="CR12" s="228">
        <f ca="1">AVERAGEIFS($AF:$AF,$BW:$BW,BW12,$BX:$BX,BX12)</f>
        <v>1678.6666666666667</v>
      </c>
      <c r="CS12" s="1191">
        <v>1.3</v>
      </c>
      <c r="CT12" s="1191">
        <v>1.5</v>
      </c>
      <c r="CU12" s="1191">
        <f ca="1">AVERAGEIF($BW:$BW,$BW12,$AH:$AH)</f>
        <v>193.875</v>
      </c>
      <c r="CV12" s="228">
        <f ca="1">AVERAGEIFS($AH:$AH,$BW:$BW,$BW12,$BX:$BX,$BX12)</f>
        <v>193.875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4711.090909090909</v>
      </c>
      <c r="DH12" s="1218">
        <f ca="1">AVERAGEIFS($AM:$AM,$BW:$BW,$BW12,$BX:$BX,$BX12)</f>
        <v>4711.090909090909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3.9736991199469291</v>
      </c>
      <c r="ER12" s="1218">
        <f ca="1">AVERAGEIFS($BH:$BH,$BW:$BW,$BW12,$BX:$BX,$BX12)</f>
        <v>3.9736991199469291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12</v>
      </c>
      <c r="F13" s="895">
        <f t="shared" si="1"/>
        <v>103</v>
      </c>
      <c r="G13" s="895">
        <f t="shared" si="1"/>
        <v>103</v>
      </c>
      <c r="H13" s="896">
        <f t="shared" si="1"/>
        <v>0</v>
      </c>
      <c r="I13" s="895">
        <f t="shared" si="1"/>
        <v>0</v>
      </c>
      <c r="J13" s="864">
        <f t="shared" si="1"/>
        <v>0</v>
      </c>
      <c r="K13" s="864">
        <f t="shared" si="1"/>
        <v>0</v>
      </c>
      <c r="L13" s="896">
        <f t="shared" si="1"/>
        <v>0</v>
      </c>
      <c r="M13" s="896">
        <f t="shared" si="1"/>
        <v>0</v>
      </c>
      <c r="N13" s="896">
        <f t="shared" si="1"/>
        <v>303</v>
      </c>
      <c r="O13" s="897">
        <f t="shared" si="1"/>
        <v>0</v>
      </c>
      <c r="P13" s="897">
        <f t="shared" si="1"/>
        <v>0</v>
      </c>
      <c r="Q13" s="896">
        <f t="shared" si="1"/>
        <v>988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62</v>
      </c>
      <c r="AC13" s="896">
        <f t="shared" si="2"/>
        <v>633</v>
      </c>
      <c r="AD13" s="896">
        <f t="shared" si="2"/>
        <v>0</v>
      </c>
      <c r="AE13" s="896">
        <f t="shared" si="2"/>
        <v>0</v>
      </c>
      <c r="AF13" s="896">
        <f t="shared" si="2"/>
        <v>73</v>
      </c>
      <c r="AG13" s="896">
        <f t="shared" si="2"/>
        <v>0</v>
      </c>
      <c r="AH13" s="896">
        <f t="shared" si="2"/>
        <v>517</v>
      </c>
      <c r="AI13" s="896">
        <f t="shared" si="2"/>
        <v>0</v>
      </c>
      <c r="AJ13" s="896">
        <f t="shared" si="2"/>
        <v>0</v>
      </c>
      <c r="AK13" s="896">
        <f t="shared" si="2"/>
        <v>0</v>
      </c>
      <c r="AL13" s="896">
        <f t="shared" si="2"/>
        <v>0</v>
      </c>
      <c r="AM13" s="896">
        <f t="shared" si="2"/>
        <v>16532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1746</v>
      </c>
      <c r="BD13" s="896">
        <f t="shared" si="2"/>
        <v>1106</v>
      </c>
      <c r="BE13" s="896">
        <f t="shared" si="2"/>
        <v>0</v>
      </c>
      <c r="BF13" s="896">
        <f t="shared" si="2"/>
        <v>0</v>
      </c>
      <c r="BG13" s="896">
        <f>IF(ISNUMBER(Datos!K13/Datos!J13),Datos!K13/Datos!J13," - ")</f>
        <v>1.0233121404783529</v>
      </c>
      <c r="BH13" s="900">
        <f>IF(ISNUMBER(((Datos!L13/Datos!K13)*11)/factor_trimestre),((Datos!L13/Datos!K13)*11)/factor_trimestre," - ")</f>
        <v>7.7849112426035507</v>
      </c>
      <c r="BI13" s="896">
        <f>IF(ISNUMBER('Resol  Asuntos'!D13/NºAsuntos!G13),'Resol  Asuntos'!D13/NºAsuntos!G13," - ")</f>
        <v>0.470873786407767</v>
      </c>
      <c r="BJ13" s="896" t="str">
        <f>IF(ISNUMBER(Datos!CI13/Datos!CJ13),Datos!CI13/Datos!CJ13," - ")</f>
        <v xml:space="preserve"> - </v>
      </c>
      <c r="BK13" s="896">
        <f>SUBTOTAL(9,BK8:BK12)</f>
        <v>0</v>
      </c>
      <c r="BL13" s="896">
        <f>IF(ISNUMBER((I13-AB13+L13)/(F13)),(I13-AB13+L13)/(F13)," - ")</f>
        <v>-0.60194174757281549</v>
      </c>
      <c r="BM13" s="901">
        <f>SUBTOTAL(9,BM9:BM12)</f>
        <v>3.9877649300608928E-2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4645</v>
      </c>
      <c r="G15" s="596">
        <f>IF(ISNUMBER(IF(D_I="SI",Datos!I15,Datos!I15+Datos!AC15)),IF(D_I="SI",Datos!I15,Datos!I15+Datos!AC15)," - ")</f>
        <v>4699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93</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2512</v>
      </c>
      <c r="AC15" s="224">
        <f>IF(ISNUMBER(Datos!Q15),Datos!Q15," - ")</f>
        <v>199</v>
      </c>
      <c r="AD15" s="224"/>
      <c r="AE15" s="224"/>
      <c r="AF15" s="224">
        <f>IF(ISNUMBER(IF(D_I="SI",Datos!L15,Datos!L15+Datos!AF15)),IF(D_I="SI",Datos!L15,Datos!L15+Datos!AF15)," - ")</f>
        <v>4769</v>
      </c>
      <c r="AG15" s="333"/>
      <c r="AH15" s="224"/>
      <c r="AI15" s="224"/>
      <c r="AJ15" s="1214"/>
      <c r="AK15" s="333"/>
      <c r="AL15" s="478"/>
      <c r="AM15" s="1214">
        <f>IF(ISNUMBER(Datos!R15),Datos!R15," - ")</f>
        <v>736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522</v>
      </c>
      <c r="BD15" s="228">
        <f>IF(ISNUMBER(Datos!N15),Datos!N15," - ")</f>
        <v>1206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0.95295902883156303</v>
      </c>
      <c r="BH15" s="1214">
        <f>IF(ISNUMBER(((IF(D_I="SI",Datos!L15/Datos!K15,(Datos!L15+Datos!AF15)/(Datos!K15+Datos!AE15)))*11)/factor_trimestre),((IF(D_I="SI",Datos!L15/Datos!K15,(Datos!L15+Datos!AF15)/(Datos!K15+Datos!AE15)))*11)/factor_trimestre," - ")</f>
        <v>5.6954617834394909</v>
      </c>
      <c r="BI15" s="242">
        <f>IF(ISNUMBER('Resol  Asuntos'!D15/NºAsuntos!G15),'Resol  Asuntos'!D15/NºAsuntos!G15," - ")</f>
        <v>0.20780254777070065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967.45969932989806</v>
      </c>
      <c r="CF15" s="228">
        <f ca="1">AVERAGEIFS($AB:$AB,$BW:$BW,BW15,$BX:$BX,BX15)</f>
        <v>967.45969932989806</v>
      </c>
      <c r="CG15" s="1191">
        <v>0.7</v>
      </c>
      <c r="CH15" s="1191">
        <f ca="1">AVERAGEIF($BW:$BW,BW15,$AC:$AC)</f>
        <v>227.72727272727272</v>
      </c>
      <c r="CI15" s="228">
        <f ca="1">AVERAGEIFS($AC:$AC,$BW:$BW,BW15,$BX:$BX,BX15)</f>
        <v>227.72727272727272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1678.6666666666667</v>
      </c>
      <c r="CR15" s="228">
        <f ca="1">AVERAGEIFS($AF:$AF,$BW:$BW,BW15,$BX:$BX,BX15)</f>
        <v>1678.6666666666667</v>
      </c>
      <c r="CS15" s="1191">
        <v>1.3</v>
      </c>
      <c r="CT15" s="1191">
        <v>1.5</v>
      </c>
      <c r="CU15" s="1191">
        <f ca="1">AVERAGEIF($BW:$BW,$BW15,$AH:$AH)</f>
        <v>193.875</v>
      </c>
      <c r="CV15" s="228">
        <f ca="1">AVERAGEIFS($AH:$AH,$BW:$BW,$BW15,$BX:$BX,$BX15)</f>
        <v>193.875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4711.090909090909</v>
      </c>
      <c r="DH15" s="1218">
        <f ca="1">AVERAGEIFS($AM:$AM,$BW:$BW,$BW15,$BX:$BX,$BX15)</f>
        <v>4711.090909090909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3.9736991199469291</v>
      </c>
      <c r="ER15" s="1218">
        <f ca="1">AVERAGEIFS($BH:$BH,$BW:$BW,$BW15,$BX:$BX,$BX15)</f>
        <v>3.9736991199469291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967.45969932989806</v>
      </c>
      <c r="CF16" s="1218">
        <f ca="1">AVERAGEIFS($AB:$AB,$BW:$BW,BW16,$BX:$BX,BX16)</f>
        <v>967.45969932989806</v>
      </c>
      <c r="CG16" s="1191">
        <v>0.7</v>
      </c>
      <c r="CH16" s="1191">
        <f ca="1">AVERAGEIF($BW:$BW,BW16,$AC:$AC)</f>
        <v>227.72727272727272</v>
      </c>
      <c r="CI16" s="1218">
        <f ca="1">AVERAGEIFS($AC:$AC,$BW:$BW,BW16,$BX:$BX,BX16)</f>
        <v>227.72727272727272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1678.6666666666667</v>
      </c>
      <c r="CR16" s="1218">
        <f ca="1">AVERAGEIFS($AF:$AF,$BW:$BW,BW16,$BX:$BX,BX16)</f>
        <v>1678.6666666666667</v>
      </c>
      <c r="CS16" s="1191">
        <v>1.3</v>
      </c>
      <c r="CT16" s="1191">
        <v>1.5</v>
      </c>
      <c r="CU16" s="1191">
        <f ca="1">AVERAGEIF($BW:$BW,$BW16,$AH:$AH)</f>
        <v>193.875</v>
      </c>
      <c r="CV16" s="1218">
        <f ca="1">AVERAGEIFS($AH:$AH,$BW:$BW,$BW16,$BX:$BX,$BX16)</f>
        <v>193.875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4711.090909090909</v>
      </c>
      <c r="DH16" s="1218">
        <f ca="1">AVERAGEIFS($AM:$AM,$BW:$BW,$BW16,$BX:$BX,$BX16)</f>
        <v>4711.090909090909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3.9736991199469291</v>
      </c>
      <c r="ER16" s="1218">
        <f ca="1">AVERAGEIFS($BH:$BH,$BW:$BW,$BW16,$BX:$BX,$BX16)</f>
        <v>3.9736991199469291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967.45969932989806</v>
      </c>
      <c r="CF17" s="228">
        <f ca="1">AVERAGEIFS($AB:$AB,$BW:$BW,BW17,$BX:$BX,BX17)</f>
        <v>967.45969932989806</v>
      </c>
      <c r="CG17" s="1191">
        <v>0.7</v>
      </c>
      <c r="CH17" s="1191">
        <f ca="1">AVERAGEIF($BW:$BW,BW17,$AC:$AC)</f>
        <v>227.72727272727272</v>
      </c>
      <c r="CI17" s="228">
        <f ca="1">AVERAGEIFS($AC:$AC,$BW:$BW,BW17,$BX:$BX,BX17)</f>
        <v>227.72727272727272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1678.6666666666667</v>
      </c>
      <c r="CR17" s="228">
        <f ca="1">AVERAGEIFS($AF:$AF,$BW:$BW,BW17,$BX:$BX,BX17)</f>
        <v>1678.6666666666667</v>
      </c>
      <c r="CS17" s="1191">
        <v>1.3</v>
      </c>
      <c r="CT17" s="1191">
        <v>1.5</v>
      </c>
      <c r="CU17" s="1191">
        <f ca="1">AVERAGEIF($BW:$BW,$BW17,$AH:$AH)</f>
        <v>193.875</v>
      </c>
      <c r="CV17" s="228">
        <f ca="1">AVERAGEIFS($AH:$AH,$BW:$BW,$BW17,$BX:$BX,$BX17)</f>
        <v>193.875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4711.090909090909</v>
      </c>
      <c r="DH17" s="1218">
        <f ca="1">AVERAGEIFS($AM:$AM,$BW:$BW,$BW17,$BX:$BX,$BX17)</f>
        <v>4711.090909090909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3.9736991199469291</v>
      </c>
      <c r="ER17" s="1218">
        <f ca="1">AVERAGEIFS($BH:$BH,$BW:$BW,$BW17,$BX:$BX,$BX17)</f>
        <v>3.9736991199469291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99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193</v>
      </c>
      <c r="AC18" s="224">
        <f>IF(ISNUMBER(Datos!Q18),Datos!Q18," - ")</f>
        <v>3</v>
      </c>
      <c r="AD18" s="224"/>
      <c r="AE18" s="224"/>
      <c r="AF18" s="224">
        <f>IF(ISNUMBER(Datos!L18),Datos!L18,"-")</f>
        <v>194</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33</v>
      </c>
      <c r="BD18" s="228">
        <f>IF(ISNUMBER(Datos!N18),Datos!N18," - ")</f>
        <v>99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0.65423728813559323</v>
      </c>
      <c r="BH18" s="1214">
        <f>IF(ISNUMBER(((IF(D_I="SI",Datos!L18/Datos!K18,(Datos!L18+Datos!AF18)/(Datos!K18+Datos!AE18)))*11)/factor_trimestre),((IF(D_I="SI",Datos!L18/Datos!K18,(Datos!L18+Datos!AF18)/(Datos!K18+Datos!AE18)))*11)/factor_trimestre," - ")</f>
        <v>3.0155440414507773</v>
      </c>
      <c r="BI18" s="242">
        <f>IF(ISNUMBER('Resol  Asuntos'!D18/NºAsuntos!G18),'Resol  Asuntos'!D18/NºAsuntos!G18," - ")</f>
        <v>0.17098445595854922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967.45969932989806</v>
      </c>
      <c r="CF18" s="228">
        <f ca="1">AVERAGEIFS($AB:$AB,$BW:$BW,BW18,$BX:$BX,BX18)</f>
        <v>967.45969932989806</v>
      </c>
      <c r="CG18" s="1191">
        <v>0.7</v>
      </c>
      <c r="CH18" s="1191">
        <f ca="1">AVERAGEIF($BW:$BW,BW18,$AC:$AC)</f>
        <v>227.72727272727272</v>
      </c>
      <c r="CI18" s="228">
        <f ca="1">AVERAGEIFS($AC:$AC,$BW:$BW,BW18,$BX:$BX,BX18)</f>
        <v>227.72727272727272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1678.6666666666667</v>
      </c>
      <c r="CR18" s="228">
        <f ca="1">AVERAGEIFS($AF:$AF,$BW:$BW,BW18,$BX:$BX,BX18)</f>
        <v>1678.6666666666667</v>
      </c>
      <c r="CS18" s="1191">
        <v>1.3</v>
      </c>
      <c r="CT18" s="1191">
        <v>1.5</v>
      </c>
      <c r="CU18" s="1191">
        <f ca="1">AVERAGEIF($BW:$BW,$BW18,$AH:$AH)</f>
        <v>193.875</v>
      </c>
      <c r="CV18" s="228">
        <f ca="1">AVERAGEIFS($AH:$AH,$BW:$BW,$BW18,$BX:$BX,$BX18)</f>
        <v>193.875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4711.090909090909</v>
      </c>
      <c r="DH18" s="1218">
        <f ca="1">AVERAGEIFS($AM:$AM,$BW:$BW,$BW18,$BX:$BX,$BX18)</f>
        <v>4711.090909090909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3.9736991199469291</v>
      </c>
      <c r="ER18" s="1218">
        <f ca="1">AVERAGEIFS($BH:$BH,$BW:$BW,$BW18,$BX:$BX,$BX18)</f>
        <v>3.9736991199469291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4645</v>
      </c>
      <c r="G19" s="895">
        <f>SUBTOTAL(9,G15:G18)</f>
        <v>4798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2705</v>
      </c>
      <c r="AC19" s="896">
        <f t="shared" si="5"/>
        <v>202</v>
      </c>
      <c r="AD19" s="896">
        <f t="shared" si="5"/>
        <v>0</v>
      </c>
      <c r="AE19" s="896">
        <f t="shared" si="5"/>
        <v>0</v>
      </c>
      <c r="AF19" s="896">
        <f t="shared" si="5"/>
        <v>4963</v>
      </c>
      <c r="AG19" s="896">
        <f t="shared" si="5"/>
        <v>0</v>
      </c>
      <c r="AH19" s="896">
        <f t="shared" si="5"/>
        <v>0</v>
      </c>
      <c r="AI19" s="896">
        <f t="shared" si="5"/>
        <v>0</v>
      </c>
      <c r="AJ19" s="896">
        <f t="shared" si="5"/>
        <v>0</v>
      </c>
      <c r="AK19" s="896">
        <f t="shared" si="5"/>
        <v>0</v>
      </c>
      <c r="AL19" s="896">
        <f t="shared" si="5"/>
        <v>0</v>
      </c>
      <c r="AM19" s="896">
        <f t="shared" si="5"/>
        <v>742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555</v>
      </c>
      <c r="BD19" s="896">
        <f t="shared" si="5"/>
        <v>1305</v>
      </c>
      <c r="BE19" s="896">
        <f t="shared" si="5"/>
        <v>0</v>
      </c>
      <c r="BF19" s="896">
        <f t="shared" si="5"/>
        <v>0</v>
      </c>
      <c r="BG19" s="896">
        <f>IF(ISNUMBER(Datos!K19/Datos!J19),Datos!K19/Datos!J19," - ")</f>
        <v>0.92289321050835893</v>
      </c>
      <c r="BH19" s="900">
        <f>IF(ISNUMBER(((Datos!L19/Datos!K19)*11)/factor_trimestre),((Datos!L19/Datos!K19)*11)/factor_trimestre," - ")</f>
        <v>5.5042513863216262</v>
      </c>
      <c r="BI19" s="896">
        <f>SUBTOTAL(9,BI15:BI18)</f>
        <v>0.37878700372924989</v>
      </c>
      <c r="BJ19" s="896">
        <f>SUBTOTAL(9,BJ15:BJ18)</f>
        <v>0</v>
      </c>
      <c r="BK19" s="896">
        <f>SUBTOTAL(9,BK15:BK18)</f>
        <v>0</v>
      </c>
      <c r="BL19" s="896">
        <f>IF(ISNUMBER((I19-AB19+L19)/(F19)),(I19-AB19+L19)/(F19)," - ")</f>
        <v>-0.58234660925726589</v>
      </c>
      <c r="BM19" s="902">
        <f>IF(ISNUMBER((Datos!P19-Datos!Q19)/(Datos!R19-Datos!P19+Datos!Q19)),(Datos!P19-Datos!Q19)/(Datos!R19-Datos!P19+Datos!Q19)," - ")</f>
        <v>-0.12808460634547592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4748</v>
      </c>
      <c r="G20" s="817">
        <f t="shared" si="7"/>
        <v>4901</v>
      </c>
      <c r="H20" s="819">
        <f t="shared" si="7"/>
        <v>0</v>
      </c>
      <c r="I20" s="817">
        <f t="shared" si="7"/>
        <v>0</v>
      </c>
      <c r="J20" s="819">
        <f t="shared" si="7"/>
        <v>0</v>
      </c>
      <c r="K20" s="819">
        <f t="shared" si="7"/>
        <v>0</v>
      </c>
      <c r="L20" s="878">
        <f t="shared" si="7"/>
        <v>0</v>
      </c>
      <c r="M20" s="878">
        <f t="shared" si="7"/>
        <v>0</v>
      </c>
      <c r="N20" s="878">
        <f t="shared" si="7"/>
        <v>303</v>
      </c>
      <c r="O20" s="878">
        <f t="shared" si="7"/>
        <v>0</v>
      </c>
      <c r="P20" s="878">
        <f t="shared" si="7"/>
        <v>0</v>
      </c>
      <c r="Q20" s="819">
        <f t="shared" si="7"/>
        <v>1081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2767</v>
      </c>
      <c r="AC20" s="818">
        <f t="shared" si="8"/>
        <v>835</v>
      </c>
      <c r="AD20" s="818">
        <f t="shared" si="8"/>
        <v>0</v>
      </c>
      <c r="AE20" s="818">
        <f t="shared" si="8"/>
        <v>0</v>
      </c>
      <c r="AF20" s="825">
        <f t="shared" si="8"/>
        <v>5036</v>
      </c>
      <c r="AG20" s="825">
        <f t="shared" si="8"/>
        <v>0</v>
      </c>
      <c r="AH20" s="825">
        <f t="shared" si="8"/>
        <v>517</v>
      </c>
      <c r="AI20" s="825">
        <f t="shared" si="8"/>
        <v>0</v>
      </c>
      <c r="AJ20" s="818">
        <f t="shared" si="8"/>
        <v>0</v>
      </c>
      <c r="AK20" s="825">
        <f t="shared" si="8"/>
        <v>0</v>
      </c>
      <c r="AL20" s="825">
        <f t="shared" si="8"/>
        <v>0</v>
      </c>
      <c r="AM20" s="825">
        <f t="shared" si="8"/>
        <v>17274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2301</v>
      </c>
      <c r="BD20" s="817">
        <f t="shared" si="8"/>
        <v>2411</v>
      </c>
      <c r="BE20" s="817">
        <f t="shared" si="8"/>
        <v>0</v>
      </c>
      <c r="BF20" s="827">
        <f t="shared" si="8"/>
        <v>0</v>
      </c>
      <c r="BG20" s="912">
        <f>IF(ISNUMBER(Datos!K20/Datos!J20),Datos!K20/Datos!J20," - ")</f>
        <v>0.97609881296118062</v>
      </c>
      <c r="BH20" s="912">
        <f>IF(ISNUMBER(((Datos!L20/Datos!K20)*11)/factor_trimestre),((Datos!L20/Datos!K20)*11)/factor_trimestre," - ")</f>
        <v>6.7710764174198843</v>
      </c>
      <c r="BI20" s="810">
        <f>IF(ISNUMBER(Datos!J20/Datos!I20),Datos!J20/Datos!I20," - ")</f>
        <v>0.45710514738231411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-0.58277169334456613</v>
      </c>
      <c r="BM20" s="886">
        <f>IF(ISNUMBER((Datos!P20-Datos!Q20+R20)/(Datos!R20-Datos!P20+Datos!Q20-R20)),(Datos!P20-Datos!Q20+R20)/(Datos!R20-Datos!P20+Datos!Q20-R20)," - ")</f>
        <v>1.4446793516560958E-2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1960.4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2622.3249226592802</v>
      </c>
      <c r="G22" s="551">
        <f>IF(ISNUMBER(STDEV(G8:G19)),STDEV(G8:G19),"-")</f>
        <v>2545.4166260162597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1373.5969932989806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725.25693312619842</v>
      </c>
      <c r="BD22" s="550"/>
      <c r="BE22" s="550">
        <f>IF(ISNUMBER(STDEV(BE8:BE19)),STDEV(BE8:BE19),"-")</f>
        <v>0</v>
      </c>
      <c r="BF22" s="555">
        <f>IF(ISNUMBER(STDEV(BF8:BF19)),STDEV(BF8:BF19),"-")</f>
        <v>0</v>
      </c>
      <c r="BG22" s="772">
        <f>IF(ISNUMBER(STDEV(BG8:BG19)),STDEV(BG8:BG19),"-")</f>
        <v>0.40313729752770189</v>
      </c>
      <c r="BH22" s="773">
        <f>IF(ISNUMBER(STDEV(BH8:BH19)),STDEV(BH8:BH19),"-")</f>
        <v>1.8676039769289763</v>
      </c>
      <c r="BI22" s="248">
        <f>IF(ISNUMBER(STDEV(BI8:BI19)),STDEV(BI8:BI19),"-")</f>
        <v>0.1418312429096415</v>
      </c>
      <c r="BJ22" s="1415" t="str">
        <f>IF(ISNUMBER(BL22/BM22),BL22/BM22," - ")</f>
        <v xml:space="preserve"> - </v>
      </c>
      <c r="BK22" s="574"/>
      <c r="BL22" s="558">
        <f>IF(ISNUMBER(STDEV(BL8:BL19)),STDEV(BL8:BL19),"-")</f>
        <v>1.3855855181213463E-2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UxmugVLJcvDX1O1IS/yS0FKsL9cdgkKTEZ8TP2t89WUmb2glGXtAjYufQwKTBWbmedewNhTZoPLEprDfZK3fQ==" saltValue="VzOLjYFmBSBCEASf0SB3z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LEON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0.470873786407767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0.33295804745191804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ZrtgdTQIegS374IYyyjrSrT95PZVSBVI8b4igTLH9xP62SKU/89gcAXY/gGRpUbwS8EUC0sPocQGDto1nP7Wg==" saltValue="Mie41+H31vnKKApXWkdy4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LEON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iSvIbpw+/Hg7pJkUAOKcEbViC4YfnEYjfB5ErUwTynnYphimnpEpMmA/5g/Kj3gnhb+dcN/zgYgWchxCoPWwQ==" saltValue="UHlzxo/Zf9k1RhFa1ij6M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LEON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y6Z7JqyikcllB7BOeZqVoIKRsjQ8NRv4Qu0w9Q18udCrXSczGxyAF8E5IrEsrbWdBZv+JOfB56xEkdC7rg8tg==" saltValue="Gzq+s0z3cLQN4MvEgnGE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LEON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9</v>
      </c>
      <c r="C9" s="409">
        <f>Datos!AQ9</f>
        <v>9</v>
      </c>
      <c r="D9" s="402">
        <f>IF(ISNUMBER(Datos!M9),Datos!M9," - ")</f>
        <v>1591</v>
      </c>
      <c r="E9" s="403">
        <f t="shared" ref="E9:E13" si="0">IF(ISNUMBER(D9/B9),D9/B9," - ")</f>
        <v>176.77777777777777</v>
      </c>
      <c r="F9" s="402">
        <f>IF(ISNUMBER(Datos!N9),Datos!N9," - ")</f>
        <v>827</v>
      </c>
      <c r="G9" s="403">
        <f t="shared" ref="G9:G13" si="1">IF(ISNUMBER(F9/B9),F9/B9," - ")</f>
        <v>91.888888888888886</v>
      </c>
      <c r="H9" s="402">
        <f>IF(ISNUMBER(Datos!O9),Datos!O9," - ")</f>
        <v>1140</v>
      </c>
      <c r="I9" s="403">
        <f>IF(ISNUMBER(H9/B9),H9/B9," - ")</f>
        <v>126.66666666666667</v>
      </c>
      <c r="BZ9" s="1181">
        <f>Datos!EZ9</f>
        <v>0</v>
      </c>
    </row>
    <row r="10" spans="1:78">
      <c r="A10" s="401" t="str">
        <f>Datos!A10</f>
        <v>Sección De Violencia sobre la Mujer del TI</v>
      </c>
      <c r="B10" s="426">
        <f>Datos!AO10</f>
        <v>2</v>
      </c>
      <c r="C10" s="409">
        <f>Datos!AQ10</f>
        <v>1</v>
      </c>
      <c r="D10" s="402">
        <f>IF(ISNUMBER(Datos!M10),Datos!M10," - ")</f>
        <v>14</v>
      </c>
      <c r="E10" s="403">
        <f>IF(ISNUMBER(D10/B10),D10/B10," - ")</f>
        <v>7</v>
      </c>
      <c r="F10" s="402">
        <f>IF(ISNUMBER(Datos!N10),Datos!N10," - ")</f>
        <v>13</v>
      </c>
      <c r="G10" s="403">
        <f>IF(ISNUMBER(F10/B10),F10/B10," - ")</f>
        <v>6.5</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3</v>
      </c>
      <c r="C11" s="409">
        <f>Datos!AQ11</f>
        <v>2</v>
      </c>
      <c r="D11" s="402">
        <f>IF(ISNUMBER(Datos!M11),Datos!M11," - ")</f>
        <v>141</v>
      </c>
      <c r="E11" s="403">
        <f t="shared" si="0"/>
        <v>47</v>
      </c>
      <c r="F11" s="402">
        <f>IF(ISNUMBER(Datos!N11),Datos!N11," - ")</f>
        <v>266</v>
      </c>
      <c r="G11" s="403">
        <f t="shared" si="1"/>
        <v>88.666666666666671</v>
      </c>
      <c r="H11" s="402">
        <f>IF(ISNUMBER(Datos!O11),Datos!O11," - ")</f>
        <v>105</v>
      </c>
      <c r="I11" s="403">
        <f t="shared" si="2"/>
        <v>35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13</v>
      </c>
      <c r="C13" s="848">
        <f>Datos!AR13</f>
        <v>12</v>
      </c>
      <c r="D13" s="846">
        <f>SUBTOTAL(9,D9:D12)</f>
        <v>1746</v>
      </c>
      <c r="E13" s="847">
        <f t="shared" si="0"/>
        <v>134.30769230769232</v>
      </c>
      <c r="F13" s="846">
        <f>SUBTOTAL(9,F9:F12)</f>
        <v>1106</v>
      </c>
      <c r="G13" s="847">
        <f t="shared" si="1"/>
        <v>85.07692307692308</v>
      </c>
      <c r="H13" s="846">
        <f>SUBTOTAL(9,H9:H12)</f>
        <v>1245</v>
      </c>
      <c r="I13" s="847">
        <f>IF(ISNUMBER(H13/B13),H13/B13," - ")</f>
        <v>95.769230769230774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522</v>
      </c>
      <c r="E15" s="403">
        <f t="shared" ref="E15:E19" si="3">IF(ISNUMBER(D15/B15),D15/B15," - ")</f>
        <v>104.4</v>
      </c>
      <c r="F15" s="402">
        <f>IF(ISNUMBER(Datos!N15),Datos!N15," - ")</f>
        <v>1206</v>
      </c>
      <c r="G15" s="403">
        <f t="shared" ref="G15:G19" si="4">IF(ISNUMBER(F15/B15),F15/B15," - ")</f>
        <v>241.2</v>
      </c>
      <c r="H15" s="402">
        <f>IF(ISNUMBER(Datos!O15),Datos!O15," - ")</f>
        <v>15</v>
      </c>
      <c r="I15" s="403">
        <f t="shared" ref="I15:I18" si="5">IF(ISNUMBER(H15/B15),H15/B15," - ")</f>
        <v>3</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33</v>
      </c>
      <c r="E18" s="403">
        <f>IF(ISNUMBER(D18/B18),D18/B18," - ")</f>
        <v>16.5</v>
      </c>
      <c r="F18" s="402">
        <f>IF(ISNUMBER(Datos!N18),Datos!N18," - ")</f>
        <v>99</v>
      </c>
      <c r="G18" s="403">
        <f>IF(ISNUMBER(F18/B18),F18/B18," - ")</f>
        <v>49.5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555</v>
      </c>
      <c r="E19" s="847">
        <f t="shared" si="3"/>
        <v>92.5</v>
      </c>
      <c r="F19" s="846">
        <f>SUBTOTAL(9,F15:F18)</f>
        <v>1305</v>
      </c>
      <c r="G19" s="847">
        <f t="shared" si="4"/>
        <v>217.5</v>
      </c>
      <c r="H19" s="846">
        <f>SUBTOTAL(9,H15:H18)</f>
        <v>15</v>
      </c>
      <c r="I19" s="847">
        <f>IF(ISNUMBER(H19/B19),H19/B19," - ")</f>
        <v>2.5</v>
      </c>
      <c r="BZ19" s="1181"/>
    </row>
    <row r="20" spans="1:78" ht="14.25" thickTop="1" thickBot="1">
      <c r="A20" s="790" t="str">
        <f>Datos!A20</f>
        <v>TOTAL JURISDICCIONES</v>
      </c>
      <c r="B20" s="791">
        <f>Datos!AP20</f>
        <v>18</v>
      </c>
      <c r="C20" s="791">
        <f>Datos!AR20</f>
        <v>17</v>
      </c>
      <c r="D20" s="791">
        <f>SUBTOTAL(9,D8:D19)</f>
        <v>2301</v>
      </c>
      <c r="E20" s="792">
        <f>IF(ISNUMBER(D20/B20),D20/B20," - ")</f>
        <v>127.83333333333333</v>
      </c>
      <c r="F20" s="791">
        <f>SUBTOTAL(9,F8:F19)</f>
        <v>2411</v>
      </c>
      <c r="G20" s="792">
        <f>IF(ISNUMBER(F20/B20),F20/B20," - ")</f>
        <v>133.94444444444446</v>
      </c>
      <c r="H20" s="791">
        <f>SUBTOTAL(9,H8:H19)</f>
        <v>1260</v>
      </c>
      <c r="I20" s="792">
        <f>IF(ISNUMBER(H20/B20),H20/B20," - ")</f>
        <v>70</v>
      </c>
    </row>
    <row r="23" spans="1:78">
      <c r="A23" s="390" t="str">
        <f>Criterios!A4</f>
        <v>Fecha Informe: 18 jun. 2026</v>
      </c>
    </row>
    <row r="28" spans="1:78">
      <c r="A28" s="413"/>
    </row>
  </sheetData>
  <sheetProtection algorithmName="SHA-512" hashValue="klRsG7ilWCwFWVrSplpKDN4EmFhTDh/gjTrTwT+BYpop7P60k3YT13lJodzqlHgqGd3RnxGSObO+bN/NLNiHSA==" saltValue="t/2+CO1dGwJr5/Pflh2u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LEON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932</v>
      </c>
      <c r="C9" s="433">
        <f>IF(ISNUMBER(Datos!Q9),Datos!Q9," - ")</f>
        <v>599</v>
      </c>
      <c r="D9" s="407">
        <f>IF(ISNUMBER(Datos!R9),Datos!R9," - ")</f>
        <v>15954</v>
      </c>
    </row>
    <row r="10" spans="1:4">
      <c r="A10" s="401" t="str">
        <f>Datos!A10</f>
        <v>Sección De Violencia sobre la Mujer del TI</v>
      </c>
      <c r="B10" s="432">
        <f>IF(ISNUMBER(Datos!P10),Datos!P10," - ")</f>
        <v>0</v>
      </c>
      <c r="C10" s="433">
        <f>IF(ISNUMBER(Datos!Q10),Datos!Q10," - ")</f>
        <v>4</v>
      </c>
      <c r="D10" s="407">
        <f>IF(ISNUMBER(Datos!R10),Datos!R10," - ")</f>
        <v>99</v>
      </c>
    </row>
    <row r="11" spans="1:4">
      <c r="A11" s="401" t="str">
        <f>Datos!A11</f>
        <v xml:space="preserve">Sección de Familia, infancia e incapacidad del TI                           </v>
      </c>
      <c r="B11" s="432">
        <f>IF(ISNUMBER(Datos!P11),Datos!P11," - ")</f>
        <v>56</v>
      </c>
      <c r="C11" s="433">
        <f>IF(ISNUMBER(Datos!Q11),Datos!Q11," - ")</f>
        <v>30</v>
      </c>
      <c r="D11" s="407">
        <f>IF(ISNUMBER(Datos!R11),Datos!R11," - ")</f>
        <v>479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988</v>
      </c>
      <c r="C13" s="850">
        <f>SUBTOTAL(9,C9:C12)</f>
        <v>633</v>
      </c>
      <c r="D13" s="848">
        <f>SUBTOTAL(9,D9:D12)</f>
        <v>16532</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93</v>
      </c>
      <c r="C15" s="433">
        <f>IF(ISNUMBER(Datos!Q15),Datos!Q15," - ")</f>
        <v>199</v>
      </c>
      <c r="D15" s="407">
        <f>IF(ISNUMBER(Datos!R15),Datos!R15," - ")</f>
        <v>736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3</v>
      </c>
      <c r="D18" s="407">
        <f>IF(ISNUMBER(Datos!R18),Datos!R18," - ")</f>
        <v>6</v>
      </c>
    </row>
    <row r="19" spans="1:4" ht="14.25" thickTop="1" thickBot="1">
      <c r="A19" s="845" t="str">
        <f>Datos!A19</f>
        <v>TOTAL</v>
      </c>
      <c r="B19" s="846">
        <f>SUBTOTAL(9,B15:B18)</f>
        <v>93</v>
      </c>
      <c r="C19" s="850">
        <f>SUBTOTAL(9,C15:C18)</f>
        <v>202</v>
      </c>
      <c r="D19" s="848">
        <f>SUBTOTAL(9,D15:D18)</f>
        <v>742</v>
      </c>
    </row>
    <row r="20" spans="1:4" ht="16.5" customHeight="1" thickTop="1" thickBot="1">
      <c r="A20" s="790" t="str">
        <f>Datos!A20</f>
        <v>TOTAL JURISDICCIONES</v>
      </c>
      <c r="B20" s="795">
        <f>SUBTOTAL(9,B8:B19)</f>
        <v>1081</v>
      </c>
      <c r="C20" s="796">
        <f>SUBTOTAL(9,C8:C19)</f>
        <v>835</v>
      </c>
      <c r="D20" s="797">
        <f>SUBTOTAL(9,D8:D19)</f>
        <v>17274</v>
      </c>
    </row>
    <row r="21" spans="1:4" ht="7.5" customHeight="1"/>
    <row r="22" spans="1:4" ht="6" customHeight="1"/>
    <row r="23" spans="1:4">
      <c r="A23" s="390" t="str">
        <f>Criterios!A4</f>
        <v>Fecha Informe: 18 jun. 2026</v>
      </c>
    </row>
    <row r="28" spans="1:4">
      <c r="A28" s="413"/>
    </row>
  </sheetData>
  <sheetProtection algorithmName="SHA-512" hashValue="M+9BG1KL6UUu4hJ4duYMuiA8qlzqQNDZ8pQTTA1PScb6hyXUERUxI+KnwOugFuo0bjJ6osnRbXUh163yuQ/5qw==" saltValue="BNVwRxnob4L/FhfLVY4b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LEON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-0.22419369744016265</v>
      </c>
      <c r="C9" s="455">
        <f>IF(ISNUMBER(
   IF(J_V="SI",(Datos!J9-Datos!T9)/Datos!T9,(Datos!J9+Datos!Z9-(Datos!T9+Datos!AH9))/(Datos!T9+Datos!AH9))
     ),IF(J_V="SI",(Datos!J9-Datos!T9)/Datos!T9,(Datos!J9+Datos!Z9-(Datos!T9+Datos!AH9))/(Datos!T9+Datos!AH9))," - ")</f>
        <v>-0.36239387036653553</v>
      </c>
      <c r="D9" s="455">
        <f>IF(ISNUMBER(
   IF(J_V="SI",(Datos!K9-Datos!U9)/Datos!U9,(Datos!K9+Datos!AA9-(Datos!U9+Datos!AI9))/(Datos!U9+Datos!AI9))
     ),IF(J_V="SI",(Datos!K9-Datos!U9)/Datos!U9,(Datos!K9+Datos!AA9-(Datos!U9+Datos!AI9))/(Datos!U9+Datos!AI9))," - ")</f>
        <v>-0.26245924545877969</v>
      </c>
      <c r="E9" s="455">
        <f>IF(ISNUMBER(
   IF(J_V="SI",(Datos!L9-Datos!V9)/Datos!V9,(Datos!L9+Datos!AB9-(Datos!V9+Datos!AJ9))/(Datos!V9+Datos!AJ9))
     ),IF(J_V="SI",(Datos!L9-Datos!V9)/Datos!V9,(Datos!L9+Datos!AB9-(Datos!V9+Datos!AJ9))/(Datos!V9+Datos!AJ9))," - ")</f>
        <v>-0.26778795350475521</v>
      </c>
      <c r="F9" s="455">
        <f>IF(ISNUMBER((Datos!M9-Datos!W9)/Datos!W9),(Datos!M9-Datos!W9)/Datos!W9," - ")</f>
        <v>-1.547029702970297E-2</v>
      </c>
      <c r="G9" s="456">
        <f>IF(ISNUMBER((Datos!N9-Datos!X9)/Datos!X9),(Datos!N9-Datos!X9)/Datos!X9," - ")</f>
        <v>-0.31198003327787022</v>
      </c>
      <c r="H9" s="454">
        <f>IF(ISNUMBER(((NºAsuntos!G9/NºAsuntos!E9)-Datos!BD9)/Datos!BD9),((NºAsuntos!G9/NºAsuntos!E9)-Datos!BD9)/Datos!BD9," - ")</f>
        <v>0.1567341031762107</v>
      </c>
      <c r="I9" s="455">
        <f>IF(ISNUMBER(((NºAsuntos!I9/NºAsuntos!G9)-Datos!BE9)/Datos!BE9),((NºAsuntos!I9/NºAsuntos!G9)-Datos!BE9)/Datos!BE9," - ")</f>
        <v>-7.2249675874388681E-3</v>
      </c>
      <c r="J9" s="460">
        <f>IF(ISNUMBER((('Resol  Asuntos'!D9/NºAsuntos!G9)-Datos!BF9)/Datos!BF9),(('Resol  Asuntos'!D9/NºAsuntos!G9)-Datos!BF9)/Datos!BF9," - ")</f>
        <v>0.79464969183557344</v>
      </c>
      <c r="K9" s="461">
        <f>IF(ISNUMBER((((NºAsuntos!C9+NºAsuntos!E9)/NºAsuntos!G9)-Datos!BG9)/Datos!BG9),(((NºAsuntos!C9+NºAsuntos!E9)/NºAsuntos!G9)-Datos!BG9)/Datos!BG9," - ")</f>
        <v>-5.935692661240023E-3</v>
      </c>
    </row>
    <row r="10" spans="1:11" ht="21">
      <c r="A10" s="401" t="str">
        <f>Datos!A10</f>
        <v>Sección De Violencia sobre la Mujer del TI</v>
      </c>
      <c r="B10" s="454">
        <f>IF(ISNUMBER((Datos!I10-Datos!S10)/Datos!S10),(Datos!I10-Datos!S10)/Datos!S10," - ")</f>
        <v>-0.11206896551724138</v>
      </c>
      <c r="C10" s="455">
        <f>IF(ISNUMBER((Datos!J10-Datos!T10)/Datos!T10),(Datos!J10-Datos!T10)/Datos!T10," - ")</f>
        <v>0.39130434782608697</v>
      </c>
      <c r="D10" s="455">
        <f>IF(ISNUMBER((Datos!K10-Datos!U10)/Datos!U10),(Datos!K10-Datos!U10)/Datos!U10," - ")</f>
        <v>2.1</v>
      </c>
      <c r="E10" s="455">
        <f>IF(ISNUMBER((Datos!L10-Datos!V10)/Datos!V10),(Datos!L10-Datos!V10)/Datos!V10," - ")</f>
        <v>-0.37606837606837606</v>
      </c>
      <c r="F10" s="455">
        <f>IF(ISNUMBER((Datos!M10-Datos!W10)/Datos!W10),(Datos!M10-Datos!W10)/Datos!W10," - ")</f>
        <v>0.55555555555555558</v>
      </c>
      <c r="G10" s="456">
        <f>IF(ISNUMBER((Datos!N10-Datos!X10)/Datos!X10),(Datos!N10-Datos!X10)/Datos!X10," - ")</f>
        <v>0.44444444444444442</v>
      </c>
      <c r="H10" s="454">
        <f>IF(ISNUMBER(((NºAsuntos!G10/NºAsuntos!E10)-Datos!BD10)/Datos!BD10),((NºAsuntos!G10/NºAsuntos!E10)-Datos!BD10)/Datos!BD10," - ")</f>
        <v>1.2281250000000001</v>
      </c>
      <c r="I10" s="455">
        <f>IF(ISNUMBER(((NºAsuntos!I10/NºAsuntos!G10)-Datos!BE10)/Datos!BE10),((NºAsuntos!I10/NºAsuntos!G10)-Datos!BE10)/Datos!BE10," - ")</f>
        <v>-0.79873173421560517</v>
      </c>
      <c r="J10" s="460">
        <f>IF(ISNUMBER((('Resol  Asuntos'!D10/NºAsuntos!G10)-Datos!BF10)/Datos!BF10),(('Resol  Asuntos'!D10/NºAsuntos!G10)-Datos!BF10)/Datos!BF10," - ")</f>
        <v>-0.49820788530465954</v>
      </c>
      <c r="K10" s="461">
        <f>IF(ISNUMBER((((NºAsuntos!C10+NºAsuntos!E10)/NºAsuntos!G10)-Datos!BG10)/Datos!BG10),(((NºAsuntos!C10+NºAsuntos!E10)/NºAsuntos!G10)-Datos!BG10)/Datos!BG10," - ")</f>
        <v>-0.68670225110234406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-0.24379811804961504</v>
      </c>
      <c r="C11" s="455">
        <f>IF(ISNUMBER(
   IF(J_V="SI",(Datos!J11-Datos!T11)/Datos!T11,(Datos!J11+Datos!Z11-(Datos!T11+Datos!AH11))/(Datos!T11+Datos!AH11))
     ),IF(J_V="SI",(Datos!J11-Datos!T11)/Datos!T11,(Datos!J11+Datos!Z11-(Datos!T11+Datos!AH11))/(Datos!T11+Datos!AH11))," - ")</f>
        <v>-0.11290322580645161</v>
      </c>
      <c r="D11" s="455">
        <f>IF(ISNUMBER(
   IF(J_V="SI",(Datos!K11-Datos!U11)/Datos!U11,(Datos!K11+Datos!AA11-(Datos!U11+Datos!AI11))/(Datos!U11+Datos!AI11))
     ),IF(J_V="SI",(Datos!K11-Datos!U11)/Datos!U11,(Datos!K11+Datos!AA11-(Datos!U11+Datos!AI11))/(Datos!U11+Datos!AI11))," - ")</f>
        <v>-0.18537414965986396</v>
      </c>
      <c r="E11" s="455">
        <f>IF(ISNUMBER(
   IF(J_V="SI",(Datos!L11-Datos!V11)/Datos!V11,(Datos!L11+Datos!AB11-(Datos!V11+Datos!AJ11))/(Datos!V11+Datos!AJ11))
     ),IF(J_V="SI",(Datos!L11-Datos!V11)/Datos!V11,(Datos!L11+Datos!AB11-(Datos!V11+Datos!AJ11))/(Datos!V11+Datos!AJ11))," - ")</f>
        <v>-0.20983318700614575</v>
      </c>
      <c r="F11" s="455">
        <f>IF(ISNUMBER((Datos!M11-Datos!W11)/Datos!W11),(Datos!M11-Datos!W11)/Datos!W11," - ")</f>
        <v>-0.12422360248447205</v>
      </c>
      <c r="G11" s="456">
        <f>IF(ISNUMBER((Datos!N11-Datos!X11)/Datos!X11),(Datos!N11-Datos!X11)/Datos!X11," - ")</f>
        <v>-0.20597014925373133</v>
      </c>
      <c r="H11" s="454">
        <f>IF(ISNUMBER(((NºAsuntos!G11/NºAsuntos!E11)-Datos!BD11)/Datos!BD11),((NºAsuntos!G11/NºAsuntos!E11)-Datos!BD11)/Datos!BD11," - ")</f>
        <v>-8.1694495980210211E-2</v>
      </c>
      <c r="I11" s="455">
        <f>IF(ISNUMBER(((NºAsuntos!I11/NºAsuntos!G11)-Datos!BE11)/Datos!BE11),((NºAsuntos!I11/NºAsuntos!G11)-Datos!BE11)/Datos!BE11," - ")</f>
        <v>-3.0024872567043216E-2</v>
      </c>
      <c r="J11" s="460">
        <f>IF(ISNUMBER((('Resol  Asuntos'!D11/NºAsuntos!G11)-Datos!BF11)/Datos!BF11),(('Resol  Asuntos'!D11/NºAsuntos!G11)-Datos!BF11)/Datos!BF11," - ")</f>
        <v>-0.48332658212071172</v>
      </c>
      <c r="K11" s="461">
        <f>IF(ISNUMBER((((NºAsuntos!C11+NºAsuntos!E11)/NºAsuntos!G11)-Datos!BG11)/Datos!BG11),(((NºAsuntos!C11+NºAsuntos!E11)/NºAsuntos!G11)-Datos!BG11)/Datos!BG11," - ")</f>
        <v>-1.9802159730088142E-2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-0.22501239055014044</v>
      </c>
      <c r="C13" s="852">
        <f>IF(ISNUMBER(
   IF(J_V="SI",(Datos!J13-Datos!T13)/Datos!T13,(Datos!J13+Datos!Z13-(Datos!T13+Datos!AH13))/(Datos!T13+Datos!AH13))
     ),IF(J_V="SI",(Datos!J13-Datos!T13)/Datos!T13,(Datos!J13+Datos!Z13-(Datos!T13+Datos!AH13))/(Datos!T13+Datos!AH13))," - ")</f>
        <v>-0.333456561922366</v>
      </c>
      <c r="D13" s="852">
        <f>IF(ISNUMBER(
   IF(J_V="SI",(Datos!K13-Datos!U13)/Datos!U13,(Datos!K13+Datos!AA13-(Datos!U13+Datos!AI13))/(Datos!U13+Datos!AI13))
     ),IF(J_V="SI",(Datos!K13-Datos!U13)/Datos!U13,(Datos!K13+Datos!AA13-(Datos!U13+Datos!AI13))/(Datos!U13+Datos!AI13))," - ")</f>
        <v>-0.24357405140758873</v>
      </c>
      <c r="E13" s="852">
        <f>IF(ISNUMBER(
   IF(J_V="SI",(Datos!L13-Datos!V13)/Datos!V13,(Datos!L13+Datos!AB13-(Datos!V13+Datos!AJ13))/(Datos!V13+Datos!AJ13))
     ),IF(J_V="SI",(Datos!L13-Datos!V13)/Datos!V13,(Datos!L13+Datos!AB13-(Datos!V13+Datos!AJ13))/(Datos!V13+Datos!AJ13))," - ")</f>
        <v>-0.26355851569933397</v>
      </c>
      <c r="F13" s="853">
        <f>IF(ISNUMBER((Datos!M13-Datos!W13)/Datos!W13),(Datos!M13-Datos!W13)/Datos!W13," - ")</f>
        <v>-2.2396416573348264E-2</v>
      </c>
      <c r="G13" s="854">
        <f>IF(ISNUMBER((Datos!N13-Datos!X13)/Datos!X13),(Datos!N13-Datos!X13)/Datos!X13," - ")</f>
        <v>-0.28460543337645539</v>
      </c>
      <c r="H13" s="854">
        <f>IF(ISNUMBER(((NºAsuntos!G13/NºAsuntos!E13)-Datos!BD13)/Datos!BD13),((NºAsuntos!G13/NºAsuntos!E13)-Datos!BD13)/Datos!BD13," - ")</f>
        <v>0.13484869159316273</v>
      </c>
      <c r="I13" s="854">
        <f>IF(ISNUMBER(((NºAsuntos!I13/NºAsuntos!G13)-Datos!BE13)/Datos!BE13),((NºAsuntos!I13/NºAsuntos!G13)-Datos!BE13)/Datos!BE13," - ")</f>
        <v>-2.6419591142970527E-2</v>
      </c>
      <c r="J13" s="854">
        <f>IF(ISNUMBER((('Resol  Asuntos'!D13/NºAsuntos!G13)-Datos!BF13)/Datos!BF13),(('Resol  Asuntos'!D13/NºAsuntos!G13)-Datos!BF13)/Datos!BF13," - ")</f>
        <v>0.49302930205101803</v>
      </c>
      <c r="K13" s="854">
        <f>IF(ISNUMBER((((NºAsuntos!C13+NºAsuntos!E13)/NºAsuntos!G13)-Datos!BG13)/Datos!BG13),(((NºAsuntos!C13+NºAsuntos!E13)/NºAsuntos!G13)-Datos!BG13)/Datos!BG13," - ")</f>
        <v>-1.9740804708556763E-2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-5.9259259259259262E-2</v>
      </c>
      <c r="C15" s="455">
        <f>IF(ISNUMBER(
   IF(D_I="SI",(Datos!J15-Datos!T15)/Datos!T15,(Datos!J15+Datos!AD15-(Datos!T15+Datos!AL15))/(Datos!T15+Datos!AL15))
     ),IF(D_I="SI",(Datos!J15-Datos!T15)/Datos!T15,(Datos!J15+Datos!AD15-(Datos!T15+Datos!AL15))/(Datos!T15+Datos!AL15))," - ")</f>
        <v>3.3725490196078428E-2</v>
      </c>
      <c r="D15" s="455">
        <f>IF(ISNUMBER(
   IF(D_I="SI",(Datos!K15-Datos!U15)/Datos!U15,(Datos!K15+Datos!AE15-(Datos!U15+Datos!AM15))/(Datos!U15+Datos!AM15))
     ),IF(D_I="SI",(Datos!K15-Datos!U15)/Datos!U15,(Datos!K15+Datos!AE15-(Datos!U15+Datos!AM15))/(Datos!U15+Datos!AM15))," - ")</f>
        <v>-0.14789687924016282</v>
      </c>
      <c r="E15" s="455">
        <f>IF(ISNUMBER(
   IF(D_I="SI",(Datos!L15-Datos!V15)/Datos!V15,(Datos!L15+Datos!AF15-(Datos!V15+Datos!AN15))/(Datos!V15+Datos!AN15))
     ),IF(D_I="SI",(Datos!L15-Datos!V15)/Datos!V15,(Datos!L15+Datos!AF15-(Datos!V15+Datos!AN15))/(Datos!V15+Datos!AN15))," - ")</f>
        <v>3.2474561593418487E-2</v>
      </c>
      <c r="F15" s="455">
        <f>IF(ISNUMBER((Datos!M15-Datos!W15)/Datos!W15),(Datos!M15-Datos!W15)/Datos!W15," - ")</f>
        <v>0.125</v>
      </c>
      <c r="G15" s="456">
        <f>IF(ISNUMBER((Datos!N15-Datos!X15)/Datos!X15),(Datos!N15-Datos!X15)/Datos!X15," - ")</f>
        <v>-0.18348002708192282</v>
      </c>
      <c r="H15" s="454">
        <f>IF(ISNUMBER(((NºAsuntos!G15/NºAsuntos!E15)-Datos!BD15)/Datos!BD15),((NºAsuntos!G15/NºAsuntos!E15)-Datos!BD15)/Datos!BD15," - ")</f>
        <v>-0.17569690518301023</v>
      </c>
      <c r="I15" s="455">
        <f>IF(ISNUMBER(((NºAsuntos!I15/NºAsuntos!G15)-Datos!BE15)/Datos!BE15),((NºAsuntos!I15/NºAsuntos!G15)-Datos!BE15)/Datos!BE15," - ")</f>
        <v>0.21167794887635261</v>
      </c>
      <c r="J15" s="460">
        <f>IF(ISNUMBER((('Resol  Asuntos'!D15/NºAsuntos!G15)-Datos!BF15)/Datos!BF15),(('Resol  Asuntos'!D15/NºAsuntos!G15)-Datos!BF15)/Datos!BF15," - ")</f>
        <v>0.3202627388535032</v>
      </c>
      <c r="K15" s="461">
        <f>IF(ISNUMBER((((NºAsuntos!C15+NºAsuntos!E15)/NºAsuntos!G15)-Datos!BG15)/Datos!BG15),(((NºAsuntos!C15+NºAsuntos!E15)/NºAsuntos!G15)-Datos!BG15)/Datos!BG15," - ")</f>
        <v>0.14090298970508167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0.125</v>
      </c>
      <c r="C18" s="455">
        <f>IF(ISNUMBER(
   IF(D_I="SI",(Datos!J18-Datos!T18)/Datos!T18,(Datos!J18+Datos!AD18-(Datos!T18+Datos!AL18))/(Datos!T18+Datos!AL18))
     ),IF(D_I="SI",(Datos!J18-Datos!T18)/Datos!T18,(Datos!J18+Datos!AD18-(Datos!T18+Datos!AL18))/(Datos!T18+Datos!AL18))," - ")</f>
        <v>0.37209302325581395</v>
      </c>
      <c r="D18" s="455">
        <f>IF(ISNUMBER(
   IF(D_I="SI",(Datos!K18-Datos!U18)/Datos!U18,(Datos!K18+Datos!AE18-(Datos!U18+Datos!AM18))/(Datos!U18+Datos!AM18))
     ),IF(D_I="SI",(Datos!K18-Datos!U18)/Datos!U18,(Datos!K18+Datos!AE18-(Datos!U18+Datos!AM18))/(Datos!U18+Datos!AM18))," - ")</f>
        <v>-0.14222222222222222</v>
      </c>
      <c r="E18" s="455">
        <f>IF(ISNUMBER(
   IF(D_I="SI",(Datos!L18-Datos!V18)/Datos!V18,(Datos!L18+Datos!AF18-(Datos!V18+Datos!AN18))/(Datos!V18+Datos!AN18))
     ),IF(D_I="SI",(Datos!L18-Datos!V18)/Datos!V18,(Datos!L18+Datos!AF18-(Datos!V18+Datos!AN18))/(Datos!V18+Datos!AN18))," - ")</f>
        <v>1.3950617283950617</v>
      </c>
      <c r="F18" s="455">
        <f>IF(ISNUMBER((Datos!M18-Datos!W18)/Datos!W18),(Datos!M18-Datos!W18)/Datos!W18," - ")</f>
        <v>0.22222222222222221</v>
      </c>
      <c r="G18" s="456">
        <f>IF(ISNUMBER((Datos!N18-Datos!X18)/Datos!X18),(Datos!N18-Datos!X18)/Datos!X18," - ")</f>
        <v>-6.6037735849056603E-2</v>
      </c>
      <c r="H18" s="454">
        <f>IF(ISNUMBER(((NºAsuntos!G18/NºAsuntos!E18)-Datos!BD18)/Datos!BD18),((NºAsuntos!G18/NºAsuntos!E18)-Datos!BD18)/Datos!BD18," - ")</f>
        <v>-0.3748399246704332</v>
      </c>
      <c r="I18" s="455">
        <f>IF(ISNUMBER(((NºAsuntos!I18/NºAsuntos!G18)-Datos!BE18)/Datos!BE18),((NºAsuntos!I18/NºAsuntos!G18)-Datos!BE18)/Datos!BE18," - ")</f>
        <v>1.7921704087507198</v>
      </c>
      <c r="J18" s="460">
        <f>IF(ISNUMBER((('Resol  Asuntos'!D18/NºAsuntos!G18)-Datos!BF18)/Datos!BF18),(('Resol  Asuntos'!D18/NºAsuntos!G18)-Datos!BF18)/Datos!BF18," - ")</f>
        <v>0.42487046632124353</v>
      </c>
      <c r="K18" s="461">
        <f>IF(ISNUMBER((((NºAsuntos!C18+NºAsuntos!E18)/NºAsuntos!G18)-Datos!BG18)/Datos!BG18),(((NºAsuntos!C18+NºAsuntos!E18)/NºAsuntos!G18)-Datos!BG18)/Datos!BG18," - ")</f>
        <v>0.51592879495203414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-5.6069250442651979E-2</v>
      </c>
      <c r="C19" s="852">
        <f>IF(ISNUMBER(
   IF(Criterios!B14="SI",(Datos!J19-Datos!T19)/Datos!T19,(Datos!J19+Datos!AD19-(Datos!T19+Datos!AL19))/(Datos!T19+Datos!AL19))
     ),IF(Criterios!B14="SI",(Datos!J19-Datos!T19)/Datos!T19,(Datos!J19+Datos!AD19-(Datos!T19+Datos!AL19))/(Datos!T19+Datos!AL19))," - ")</f>
        <v>6.0036166365280287E-2</v>
      </c>
      <c r="D19" s="852">
        <f>IF(ISNUMBER(
   IF(Criterios!B14="SI",(Datos!K19-Datos!U19)/Datos!U19,(Datos!K19+Datos!AE19-(Datos!U19+Datos!AM19))/(Datos!U19+Datos!AM19))
     ),IF(Criterios!B14="SI",(Datos!K19-Datos!U19)/Datos!U19,(Datos!K19+Datos!AE19-(Datos!U19+Datos!AM19))/(Datos!U19+Datos!AM19))," - ")</f>
        <v>-0.14749448471478097</v>
      </c>
      <c r="E19" s="852">
        <f>IF(ISNUMBER(
   IF(Criterios!B14="SI",(Datos!L19-Datos!V19)/Datos!V19,(Datos!L19+Datos!AF19-(Datos!V19+Datos!AN19))/(Datos!V19+Datos!AN19))
     ),IF(Criterios!B14="SI",(Datos!L19-Datos!V19)/Datos!V19,(Datos!L19+Datos!AF19-(Datos!V19+Datos!AN19))/(Datos!V19+Datos!AN19))," - ")</f>
        <v>5.5957446808510641E-2</v>
      </c>
      <c r="F19" s="853">
        <f>IF(ISNUMBER((Datos!M19-Datos!W19)/Datos!W19),(Datos!M19-Datos!W19)/Datos!W19," - ")</f>
        <v>0.13034623217922606</v>
      </c>
      <c r="G19" s="854">
        <f>IF(ISNUMBER((Datos!N19-Datos!X19)/Datos!X19),(Datos!N19-Datos!X19)/Datos!X19," - ")</f>
        <v>-0.17561591914087177</v>
      </c>
      <c r="H19" s="854">
        <f>IF(ISNUMBER(((NºAsuntos!G19/NºAsuntos!E19)-Datos!BD19)/Datos!BD19),((NºAsuntos!G19/NºAsuntos!E19)-Datos!BD19)/Datos!BD19," - ")</f>
        <v>-0.19577695333891829</v>
      </c>
      <c r="I19" s="854">
        <f>IF(ISNUMBER(((NºAsuntos!I19/NºAsuntos!G19)-Datos!BE19)/Datos!BE19),((NºAsuntos!I19/NºAsuntos!G19)-Datos!BE19)/Datos!BE19," - ")</f>
        <v>0.23865174814173912</v>
      </c>
      <c r="J19" s="854">
        <f>IF(ISNUMBER((('Resol  Asuntos'!D19/NºAsuntos!G19)-Datos!BF19)/Datos!BF19),(('Resol  Asuntos'!D19/NºAsuntos!G19)-Datos!BF19)/Datos!BF19," - ")</f>
        <v>0.32591075589821961</v>
      </c>
      <c r="K19" s="854">
        <f>IF(ISNUMBER((((NºAsuntos!C19+NºAsuntos!E19)/NºAsuntos!G19)-Datos!BG19)/Datos!BG19),(((NºAsuntos!C19+NºAsuntos!E19)/NºAsuntos!G19)-Datos!BG19)/Datos!BG19," - ")</f>
        <v>0.15522642782177437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-0.17505381348536855</v>
      </c>
      <c r="C20" s="799">
        <f>IF(ISNUMBER(
   IF(J_V="SI",(Datos!J20-Datos!T20)/Datos!T20,(Datos!J20+Datos!Z20-(Datos!T20+Datos!AH20))/(Datos!T20+Datos!AH20))
     ),IF(J_V="SI",(Datos!J20-Datos!T20)/Datos!T20,(Datos!J20+Datos!Z20-(Datos!T20+Datos!AH20))/(Datos!T20+Datos!AH20))," - ")</f>
        <v>-0.20036697247706423</v>
      </c>
      <c r="D20" s="799">
        <f>IF(ISNUMBER(
   IF(J_V="SI",(Datos!K20-Datos!U20)/Datos!U20,(Datos!K20+Datos!AA20-(Datos!U20+Datos!AI20))/(Datos!U20+Datos!AI20))
     ),IF(J_V="SI",(Datos!K20-Datos!U20)/Datos!U20,(Datos!K20+Datos!AA20-(Datos!U20+Datos!AI20))/(Datos!U20+Datos!AI20))," - ")</f>
        <v>-0.2058204334365325</v>
      </c>
      <c r="E20" s="799">
        <f>IF(ISNUMBER(
   IF(J_V="SI",(Datos!L20-Datos!V20)/Datos!V20,(Datos!L20+Datos!AB20-(Datos!V20+Datos!AJ20))/(Datos!V20+Datos!AJ20))
     ),IF(J_V="SI",(Datos!L20-Datos!V20)/Datos!V20,(Datos!L20+Datos!AB20-(Datos!V20+Datos!AJ20))/(Datos!V20+Datos!AJ20))," - ")</f>
        <v>-0.17681377079482441</v>
      </c>
      <c r="F20" s="800">
        <f>IF(ISNUMBER((Datos!M20-Datos!W20)/Datos!W20),(Datos!M20-Datos!W20)/Datos!W20," - ")</f>
        <v>1.0540184453227932E-2</v>
      </c>
      <c r="G20" s="801">
        <f>IF(ISNUMBER((Datos!N20-Datos!X20)/Datos!X20),(Datos!N20-Datos!X20)/Datos!X20," - ")</f>
        <v>-0.22946628315755832</v>
      </c>
      <c r="H20" s="802">
        <f>IF(ISNUMBER((Tasas!B20-Datos!BD20)/Datos!BD20),(Tasas!B20-Datos!BD20)/Datos!BD20," - ")</f>
        <v>-6.8199546188853028E-3</v>
      </c>
      <c r="I20" s="803">
        <f>IF(ISNUMBER((Tasas!C20-Datos!BE20)/Datos!BE20),(Tasas!C20-Datos!BE20)/Datos!BE20," - ")</f>
        <v>3.6524060631809477E-2</v>
      </c>
      <c r="J20" s="804">
        <f>IF(ISNUMBER((Tasas!D20-Datos!BF20)/Datos!BF20),(Tasas!D20-Datos!BF20)/Datos!BF20," - ")</f>
        <v>0.42235132199942732</v>
      </c>
      <c r="K20" s="804">
        <f>IF(ISNUMBER((Tasas!E20-Datos!BG20)/Datos!BG20),(Tasas!E20-Datos!BG20)/Datos!BG20," - ")</f>
        <v>2.8467121701938297E-2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JOclT9o6lEOLw6jpRrGR7vP8Y295YKby76/W3ADzvY+ecqfstpAN8jbnDPa2Kv96NMmWh9sztEub4MY903VNQ==" saltValue="ZqAvt9tQ2KDlZyCf4vm14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LEON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1.028580708022085</v>
      </c>
      <c r="C9" s="442">
        <f>IF(ISNUMBER(NºAsuntos!I9/NºAsuntos!G9),NºAsuntos!I9/NºAsuntos!G9," - ")</f>
        <v>2.6255131038838018</v>
      </c>
      <c r="D9" s="443">
        <f>IF(ISNUMBER('Resol  Asuntos'!D9/NºAsuntos!G9),'Resol  Asuntos'!D9/NºAsuntos!G9," - ")</f>
        <v>0.50236817177139248</v>
      </c>
      <c r="E9" s="444">
        <f>IF(ISNUMBER((NºAsuntos!C9+NºAsuntos!E9)/NºAsuntos!G9),(NºAsuntos!C9+NºAsuntos!E9)/NºAsuntos!G9," - ")</f>
        <v>3.6229870539943163</v>
      </c>
      <c r="G9" s="462"/>
    </row>
    <row r="10" spans="1:7" ht="21">
      <c r="A10" s="401" t="str">
        <f>Datos!A10</f>
        <v>Sección De Violencia sobre la Mujer del TI</v>
      </c>
      <c r="B10" s="441">
        <f>IF(ISNUMBER(NºAsuntos!G10/NºAsuntos!E10),NºAsuntos!G10/NºAsuntos!E10," - ")</f>
        <v>1.9375</v>
      </c>
      <c r="C10" s="442">
        <f>IF(ISNUMBER(NºAsuntos!I10/NºAsuntos!G10),NºAsuntos!I10/NºAsuntos!G10," - ")</f>
        <v>1.1774193548387097</v>
      </c>
      <c r="D10" s="443">
        <f>IF(ISNUMBER('Resol  Asuntos'!D10/NºAsuntos!G10),'Resol  Asuntos'!D10/NºAsuntos!G10," - ")</f>
        <v>0.22580645161290322</v>
      </c>
      <c r="E10" s="444">
        <f>IF(ISNUMBER((NºAsuntos!C10+NºAsuntos!E10)/NºAsuntos!G10),(NºAsuntos!C10+NºAsuntos!E10)/NºAsuntos!G10," - ")</f>
        <v>2.1774193548387095</v>
      </c>
      <c r="G10" s="462"/>
    </row>
    <row r="11" spans="1:7" ht="21">
      <c r="A11" s="401" t="str">
        <f>Datos!A11</f>
        <v xml:space="preserve">Sección de Familia, infancia e incapacidad del TI                           </v>
      </c>
      <c r="B11" s="441">
        <f>IF(ISNUMBER(NºAsuntos!G11/NºAsuntos!E11),NºAsuntos!G11/NºAsuntos!E11," - ")</f>
        <v>0.96767676767676769</v>
      </c>
      <c r="C11" s="442">
        <f>IF(ISNUMBER(NºAsuntos!I11/NºAsuntos!G11),NºAsuntos!I11/NºAsuntos!G11," - ")</f>
        <v>1.8789144050104385</v>
      </c>
      <c r="D11" s="443">
        <f>IF(ISNUMBER('Resol  Asuntos'!D11/NºAsuntos!G11),'Resol  Asuntos'!D11/NºAsuntos!G11," - ")</f>
        <v>0.29436325678496866</v>
      </c>
      <c r="E11" s="444">
        <f>IF(ISNUMBER((NºAsuntos!C11+NºAsuntos!E11)/NºAsuntos!G11),(NºAsuntos!C11+NºAsuntos!E11)/NºAsuntos!G11," - ")</f>
        <v>2.8789144050104385</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1.0282861896838602</v>
      </c>
      <c r="C13" s="856">
        <f>IF(ISNUMBER(NºAsuntos!I13/NºAsuntos!G13),NºAsuntos!I13/NºAsuntos!G13," - ")</f>
        <v>2.5048543689320391</v>
      </c>
      <c r="D13" s="857">
        <f>IF(ISNUMBER('Resol  Asuntos'!D13/NºAsuntos!G13),'Resol  Asuntos'!D13/NºAsuntos!G13," - ")</f>
        <v>0.470873786407767</v>
      </c>
      <c r="E13" s="858">
        <f>IF(ISNUMBER((NºAsuntos!C13+NºAsuntos!E13)/NºAsuntos!G13),(NºAsuntos!C13+NºAsuntos!E13)/NºAsuntos!G13," - ")</f>
        <v>3.5026968716289106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0.95295902883156303</v>
      </c>
      <c r="C15" s="442">
        <f>IF(ISNUMBER(NºAsuntos!I15/NºAsuntos!G15),NºAsuntos!I15/NºAsuntos!G15," - ")</f>
        <v>1.8984872611464969</v>
      </c>
      <c r="D15" s="443">
        <f>IF(ISNUMBER('Resol  Asuntos'!D15/NºAsuntos!G15),'Resol  Asuntos'!D15/NºAsuntos!G15," - ")</f>
        <v>0.20780254777070065</v>
      </c>
      <c r="E15" s="444">
        <f>IF(ISNUMBER((NºAsuntos!C15+NºAsuntos!E15)/NºAsuntos!G15),(NºAsuntos!C15+NºAsuntos!E15)/NºAsuntos!G15," - ")</f>
        <v>2.9199840764331211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0.65423728813559323</v>
      </c>
      <c r="C18" s="442">
        <f>IF(ISNUMBER(NºAsuntos!I18/NºAsuntos!G18),NºAsuntos!I18/NºAsuntos!G18," - ")</f>
        <v>1.0051813471502591</v>
      </c>
      <c r="D18" s="443">
        <f>IF(ISNUMBER('Resol  Asuntos'!D18/NºAsuntos!G18),'Resol  Asuntos'!D18/NºAsuntos!G18," - ")</f>
        <v>0.17098445595854922</v>
      </c>
      <c r="E18" s="444">
        <f>IF(ISNUMBER((NºAsuntos!C18+NºAsuntos!E18)/NºAsuntos!G18),(NºAsuntos!C18+NºAsuntos!E18)/NºAsuntos!G18," - ")</f>
        <v>2.0414507772020727</v>
      </c>
      <c r="G18" s="462"/>
    </row>
    <row r="19" spans="1:7" ht="14.25" thickTop="1" thickBot="1">
      <c r="A19" s="845" t="str">
        <f>Datos!A19</f>
        <v>TOTAL</v>
      </c>
      <c r="B19" s="855">
        <f>IF(ISNUMBER(NºAsuntos!G19/NºAsuntos!E19),NºAsuntos!G19/NºAsuntos!E19," - ")</f>
        <v>0.92289321050835893</v>
      </c>
      <c r="C19" s="856">
        <f>IF(ISNUMBER(NºAsuntos!I19/NºAsuntos!G19),NºAsuntos!I19/NºAsuntos!G19," - ")</f>
        <v>1.8347504621072088</v>
      </c>
      <c r="D19" s="859">
        <f>IF(ISNUMBER('Resol  Asuntos'!D19/NºAsuntos!G19),'Resol  Asuntos'!D19/NºAsuntos!G19," - ")</f>
        <v>0.20517560073937152</v>
      </c>
      <c r="E19" s="858">
        <f>IF(ISNUMBER((NºAsuntos!C19+NºAsuntos!E19)/NºAsuntos!G19),(NºAsuntos!C19+NºAsuntos!E19)/NºAsuntos!G19," - ")</f>
        <v>2.8573012939001847</v>
      </c>
      <c r="G19" s="462"/>
    </row>
    <row r="20" spans="1:7" ht="15.75" customHeight="1" thickTop="1" thickBot="1">
      <c r="A20" s="790" t="str">
        <f>Datos!A20</f>
        <v>TOTAL JURISDICCIONES</v>
      </c>
      <c r="B20" s="805">
        <f>IF(ISNUMBER(NºAsuntos!G20/NºAsuntos!E20),NºAsuntos!G20/NºAsuntos!E20," - ")</f>
        <v>0.98103105400030599</v>
      </c>
      <c r="C20" s="806">
        <f>IF(ISNUMBER(NºAsuntos!I20/NºAsuntos!G20),NºAsuntos!I20/NºAsuntos!G20," - ")</f>
        <v>2.2222048963043819</v>
      </c>
      <c r="D20" s="807">
        <f>IF(ISNUMBER('Resol  Asuntos'!D20/NºAsuntos!G20),'Resol  Asuntos'!D20/NºAsuntos!G20," - ")</f>
        <v>0.35880243255886479</v>
      </c>
      <c r="E20" s="808">
        <f>IF(ISNUMBER((NºAsuntos!C20+NºAsuntos!E20)/NºAsuntos!G20),(NºAsuntos!C20+NºAsuntos!E20)/NºAsuntos!G20," - ")</f>
        <v>3.230469359114299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Gyljie5zQfIUAOHohVxgCkGB6XikUvfiZqJRocdmc1yDDgpScn4lWJ6Sd+8yqi04zlWtSh5uG5SHm/knL1wfA==" saltValue="uj/4kpwELAsGmvsk5uSMU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LEON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247</v>
      </c>
      <c r="C9" s="159" t="str">
        <f>Datos!A9</f>
        <v>Sección Civil del T.I</v>
      </c>
      <c r="D9" s="159"/>
      <c r="E9" s="1020">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932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599</v>
      </c>
      <c r="Y9" s="333">
        <f>SUM(W9:X9)</f>
        <v>599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15954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1591</v>
      </c>
      <c r="AJ9" s="228" t="str">
        <f>IF(ISNUMBER(Datos!BW9),Datos!BW9," - ")</f>
        <v xml:space="preserve"> - </v>
      </c>
      <c r="AK9" s="227" t="str">
        <f>IF(ISNUMBER(Datos!BX9),Datos!BX9," - ")</f>
        <v xml:space="preserve"> - </v>
      </c>
      <c r="AL9" s="242">
        <f>IF(ISNUMBER(NºAsuntos!G9/NºAsuntos!E9),NºAsuntos!G9/NºAsuntos!E9," - ")</f>
        <v>1.028580708022085</v>
      </c>
      <c r="AM9" s="259">
        <f>IF(ISNUMBER(((NºAsuntos!I9/NºAsuntos!G9)*11)/factor_trimestre),((NºAsuntos!I9/NºAsuntos!G9)*11)/factor_trimestre," - ")</f>
        <v>7.8765393116514062</v>
      </c>
      <c r="AN9" s="243">
        <f>IF(ISNUMBER('Resol  Asuntos'!D9/NºAsuntos!G9),'Resol  Asuntos'!D9/NºAsuntos!G9," - ")</f>
        <v>0.50236817177139248</v>
      </c>
      <c r="AO9" s="244">
        <f>IF(ISNUMBER((NºAsuntos!C9+NºAsuntos!E9)/NºAsuntos!G9),(NºAsuntos!C9+NºAsuntos!E9)/NºAsuntos!G9," - ")</f>
        <v>3.6229870539943163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103</v>
      </c>
      <c r="G10" s="332">
        <f>IF(ISNUMBER(Datos!I10),Datos!I10," - ")</f>
        <v>103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62</v>
      </c>
      <c r="X10" s="225">
        <f>IF(ISNUMBER(Datos!Q10),Datos!Q10," - ")</f>
        <v>4</v>
      </c>
      <c r="Y10" s="333">
        <f t="shared" ref="Y10:Y12" si="0">SUM(W10:X10)</f>
        <v>66</v>
      </c>
      <c r="Z10" s="334" t="str">
        <f>IF(ISNUMBER(Datos!CC10),Datos!CC10," - ")</f>
        <v xml:space="preserve"> - </v>
      </c>
      <c r="AA10" s="331">
        <f>IF(ISNUMBER(Datos!L10),Datos!L10,"-")</f>
        <v>73</v>
      </c>
      <c r="AB10" s="333">
        <f>IF(ISNUMBER(Datos!R10),Datos!R10," - ")</f>
        <v>99</v>
      </c>
      <c r="AC10" s="333">
        <f t="shared" ref="AC10:AC12" si="1">IF(ISNUMBER(AA10+AB10),AA10+AB10," - ")</f>
        <v>172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1.9375</v>
      </c>
      <c r="AM10" s="259">
        <f>IF(ISNUMBER(((NºAsuntos!I10/NºAsuntos!G10)*11)/factor_trimestre),((NºAsuntos!I10/NºAsuntos!G10)*11)/factor_trimestre," - ")</f>
        <v>3.5322580645161294</v>
      </c>
      <c r="AN10" s="243">
        <f>IF(ISNUMBER('Resol  Asuntos'!D10/NºAsuntos!G10),'Resol  Asuntos'!D10/NºAsuntos!G10," - ")</f>
        <v>0.22580645161290322</v>
      </c>
      <c r="AO10" s="244">
        <f>IF(ISNUMBER((NºAsuntos!C10+NºAsuntos!E10)/NºAsuntos!G10),(NºAsuntos!C10+NºAsuntos!E10)/NºAsuntos!G10," - ")</f>
        <v>2.1774193548387095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30</v>
      </c>
      <c r="Y11" s="333">
        <f t="shared" si="0"/>
        <v>30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479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141</v>
      </c>
      <c r="AJ11" s="230" t="str">
        <f>IF(ISNUMBER(Datos!BW11),Datos!BW11," - ")</f>
        <v xml:space="preserve"> - </v>
      </c>
      <c r="AK11" s="231" t="str">
        <f>IF(ISNUMBER(Datos!BX11),Datos!BX11," - ")</f>
        <v xml:space="preserve"> - </v>
      </c>
      <c r="AL11" s="242">
        <f>IF(ISNUMBER(NºAsuntos!G11/NºAsuntos!E11),NºAsuntos!G11/NºAsuntos!E11," - ")</f>
        <v>0.96767676767676769</v>
      </c>
      <c r="AM11" s="259">
        <f>IF(ISNUMBER(((NºAsuntos!I11/NºAsuntos!G11)*11)/factor_trimestre),((NºAsuntos!I11/NºAsuntos!G11)*11)/factor_trimestre," - ")</f>
        <v>5.6367432150313164</v>
      </c>
      <c r="AN11" s="243">
        <f>IF(ISNUMBER('Resol  Asuntos'!D11/NºAsuntos!G11),'Resol  Asuntos'!D11/NºAsuntos!G11," - ")</f>
        <v>0.29436325678496866</v>
      </c>
      <c r="AO11" s="244">
        <f>IF(ISNUMBER((NºAsuntos!C11+NºAsuntos!E11)/NºAsuntos!G11),(NºAsuntos!C11+NºAsuntos!E11)/NºAsuntos!G11," - ")</f>
        <v>2.8789144050104385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12</v>
      </c>
      <c r="F13" s="862">
        <f t="shared" si="3"/>
        <v>103</v>
      </c>
      <c r="G13" s="863">
        <f t="shared" si="3"/>
        <v>103</v>
      </c>
      <c r="H13" s="862">
        <f t="shared" si="3"/>
        <v>0</v>
      </c>
      <c r="I13" s="864">
        <f t="shared" si="3"/>
        <v>0</v>
      </c>
      <c r="J13" s="864">
        <f t="shared" si="3"/>
        <v>0</v>
      </c>
      <c r="K13" s="864">
        <f t="shared" si="3"/>
        <v>0</v>
      </c>
      <c r="L13" s="864">
        <f t="shared" si="3"/>
        <v>988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62</v>
      </c>
      <c r="X13" s="864">
        <f t="shared" si="4"/>
        <v>633</v>
      </c>
      <c r="Y13" s="865">
        <f t="shared" si="4"/>
        <v>695</v>
      </c>
      <c r="Z13" s="865">
        <f t="shared" si="4"/>
        <v>0</v>
      </c>
      <c r="AA13" s="865">
        <f t="shared" si="4"/>
        <v>73</v>
      </c>
      <c r="AB13" s="865">
        <f t="shared" si="4"/>
        <v>16532</v>
      </c>
      <c r="AC13" s="865">
        <f t="shared" si="4"/>
        <v>172</v>
      </c>
      <c r="AD13" s="865">
        <f t="shared" si="4"/>
        <v>0</v>
      </c>
      <c r="AE13" s="869">
        <f t="shared" si="4"/>
        <v>0</v>
      </c>
      <c r="AF13" s="862">
        <f t="shared" si="4"/>
        <v>0</v>
      </c>
      <c r="AG13" s="870">
        <f t="shared" si="4"/>
        <v>0</v>
      </c>
      <c r="AH13" s="867">
        <f t="shared" si="4"/>
        <v>0</v>
      </c>
      <c r="AI13" s="862">
        <f t="shared" si="4"/>
        <v>1746</v>
      </c>
      <c r="AJ13" s="864">
        <f t="shared" si="4"/>
        <v>0</v>
      </c>
      <c r="AK13" s="867">
        <f>SUBTOTAL(9,AK9:AK12)</f>
        <v>0</v>
      </c>
      <c r="AL13" s="871">
        <f>IF(ISNUMBER(NºAsuntos!G13/NºAsuntos!E13),NºAsuntos!G13/NºAsuntos!E13," - ")</f>
        <v>1.0282861896838602</v>
      </c>
      <c r="AM13" s="871">
        <f>IF(ISNUMBER(((NºAsuntos!I13/NºAsuntos!G13)*11)/factor_trimestre),((NºAsuntos!I13/NºAsuntos!G13)*11)/factor_trimestre," - ")</f>
        <v>7.5145631067961176</v>
      </c>
      <c r="AN13" s="872">
        <f>IF(ISNUMBER('Resol  Asuntos'!D13/NºAsuntos!G13),'Resol  Asuntos'!D13/NºAsuntos!G13," - ")</f>
        <v>0.470873786407767</v>
      </c>
      <c r="AO13" s="873">
        <f>IF(ISNUMBER((NºAsuntos!C13+NºAsuntos!E13)/NºAsuntos!G13),(NºAsuntos!C13+NºAsuntos!E13)/NºAsuntos!G13," - ")</f>
        <v>3.5026968716289106</v>
      </c>
      <c r="AP13" s="874" t="str">
        <f t="shared" si="2"/>
        <v xml:space="preserve"> - </v>
      </c>
      <c r="AQ13" s="874">
        <f>IF(ISNUMBER((H13-W13+K13)/(F13)),(H13-W13+K13)/(F13)," - ")</f>
        <v>-0.60194174757281549</v>
      </c>
      <c r="AR13" s="875">
        <f>IF(ISNUMBER((Datos!P13-Datos!Q13)/(Datos!R13-Datos!P13+Datos!Q13)),(Datos!P13-Datos!Q13)/(Datos!R13-Datos!P13+Datos!Q13)," - ")</f>
        <v>2.1944736354082957E-2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4645</v>
      </c>
      <c r="G15" s="332">
        <f>IF(ISNUMBER(IF(D_I="SI",Datos!I15,Datos!I15+Datos!AC15)),IF(D_I="SI",Datos!I15,Datos!I15+Datos!AC15)," - ")</f>
        <v>4699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2512</v>
      </c>
      <c r="X15" s="225">
        <f>IF(ISNUMBER(Datos!Q15),Datos!Q15," - ")</f>
        <v>199</v>
      </c>
      <c r="Y15" s="333">
        <f>SUM(W15)</f>
        <v>2512</v>
      </c>
      <c r="Z15" s="334" t="str">
        <f>IF(ISNUMBER(Datos!CC15),Datos!CC15," - ")</f>
        <v xml:space="preserve"> - </v>
      </c>
      <c r="AA15" s="331">
        <f>IF(ISNUMBER(IF(D_I="SI",Datos!L15,Datos!L15+Datos!AF15)),IF(D_I="SI",Datos!L15,Datos!L15+Datos!AF15)," - ")</f>
        <v>4769</v>
      </c>
      <c r="AB15" s="333">
        <f>IF(ISNUMBER(Datos!R15),Datos!R15," - ")</f>
        <v>736</v>
      </c>
      <c r="AC15" s="333">
        <f t="shared" ref="AC15:AC18" si="6">IF(ISNUMBER(AA15+AB15),AA15+AB15," - ")</f>
        <v>5505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522</v>
      </c>
      <c r="AJ15" s="230" t="str">
        <f>IF(ISNUMBER(Datos!BW15),Datos!BW15," - ")</f>
        <v xml:space="preserve"> - </v>
      </c>
      <c r="AK15" s="231" t="str">
        <f>IF(ISNUMBER(Datos!BX15),Datos!BX15," - ")</f>
        <v xml:space="preserve"> - </v>
      </c>
      <c r="AL15" s="242">
        <f>IF(ISNUMBER(NºAsuntos!G15/NºAsuntos!E15),NºAsuntos!G15/NºAsuntos!E15," - ")</f>
        <v>0.95295902883156303</v>
      </c>
      <c r="AM15" s="259">
        <f>IF(ISNUMBER(((NºAsuntos!I15/NºAsuntos!G15)*11)/factor_trimestre),((NºAsuntos!I15/NºAsuntos!G15)*11)/factor_trimestre," - ")</f>
        <v>5.6954617834394909</v>
      </c>
      <c r="AN15" s="243">
        <f>IF(ISNUMBER('Resol  Asuntos'!D15/NºAsuntos!G15),'Resol  Asuntos'!D15/NºAsuntos!G15," - ")</f>
        <v>0.20780254777070065</v>
      </c>
      <c r="AO15" s="244">
        <f>IF(ISNUMBER((NºAsuntos!C15+NºAsuntos!E15)/NºAsuntos!G15),(NºAsuntos!C15+NºAsuntos!E15)/NºAsuntos!G15," - ")</f>
        <v>2.9199840764331211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99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193</v>
      </c>
      <c r="X18" s="225">
        <f>IF(ISNUMBER(Datos!Q18),Datos!Q18," - ")</f>
        <v>3</v>
      </c>
      <c r="Y18" s="333">
        <f t="shared" si="9"/>
        <v>196</v>
      </c>
      <c r="Z18" s="334" t="str">
        <f>IF(ISNUMBER(Datos!CC18),Datos!CC18," - ")</f>
        <v xml:space="preserve"> - </v>
      </c>
      <c r="AA18" s="331">
        <f>IF(ISNUMBER(Datos!L18),Datos!L18,"-")</f>
        <v>194</v>
      </c>
      <c r="AB18" s="333">
        <f>IF(ISNUMBER(Datos!R18),Datos!R18," - ")</f>
        <v>6</v>
      </c>
      <c r="AC18" s="333">
        <f t="shared" si="6"/>
        <v>200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33</v>
      </c>
      <c r="AJ18" s="230" t="str">
        <f>IF(ISNUMBER(Datos!BW18),Datos!BW18," - ")</f>
        <v xml:space="preserve"> - </v>
      </c>
      <c r="AK18" s="231" t="str">
        <f>IF(ISNUMBER(Datos!BX18),Datos!BX18," - ")</f>
        <v xml:space="preserve"> - </v>
      </c>
      <c r="AL18" s="242">
        <f>IF(ISNUMBER(NºAsuntos!G18/NºAsuntos!E18),NºAsuntos!G18/NºAsuntos!E18," - ")</f>
        <v>0.65423728813559323</v>
      </c>
      <c r="AM18" s="259">
        <f>IF(ISNUMBER(((NºAsuntos!I18/NºAsuntos!G18)*11)/factor_trimestre),((NºAsuntos!I18/NºAsuntos!G18)*11)/factor_trimestre," - ")</f>
        <v>3.0155440414507773</v>
      </c>
      <c r="AN18" s="243">
        <f>IF(ISNUMBER('Resol  Asuntos'!D18/NºAsuntos!G18),'Resol  Asuntos'!D18/NºAsuntos!G18," - ")</f>
        <v>0.17098445595854922</v>
      </c>
      <c r="AO18" s="244">
        <f>IF(ISNUMBER((NºAsuntos!C18+NºAsuntos!E18)/NºAsuntos!G18),(NºAsuntos!C18+NºAsuntos!E18)/NºAsuntos!G18," - ")</f>
        <v>2.0414507772020727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4645</v>
      </c>
      <c r="G19" s="863">
        <f>SUBTOTAL(9,G15:G18)</f>
        <v>4798</v>
      </c>
      <c r="H19" s="862">
        <f t="shared" ref="H19:O19" si="12">SUBTOTAL(9,H14:H18)</f>
        <v>0</v>
      </c>
      <c r="I19" s="864">
        <f t="shared" si="12"/>
        <v>0</v>
      </c>
      <c r="J19" s="864">
        <f t="shared" si="12"/>
        <v>0</v>
      </c>
      <c r="K19" s="864">
        <f t="shared" si="12"/>
        <v>0</v>
      </c>
      <c r="L19" s="864">
        <f t="shared" si="12"/>
        <v>93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2705</v>
      </c>
      <c r="X19" s="864">
        <f t="shared" si="13"/>
        <v>202</v>
      </c>
      <c r="Y19" s="865">
        <f t="shared" si="13"/>
        <v>2708</v>
      </c>
      <c r="Z19" s="865">
        <f t="shared" si="13"/>
        <v>0</v>
      </c>
      <c r="AA19" s="865">
        <f t="shared" si="13"/>
        <v>4963</v>
      </c>
      <c r="AB19" s="865">
        <f t="shared" si="13"/>
        <v>742</v>
      </c>
      <c r="AC19" s="865">
        <f t="shared" si="13"/>
        <v>5705</v>
      </c>
      <c r="AD19" s="865">
        <f t="shared" si="13"/>
        <v>0</v>
      </c>
      <c r="AE19" s="869">
        <f t="shared" si="13"/>
        <v>0</v>
      </c>
      <c r="AF19" s="862">
        <f t="shared" si="13"/>
        <v>0</v>
      </c>
      <c r="AG19" s="870">
        <f t="shared" si="13"/>
        <v>0</v>
      </c>
      <c r="AH19" s="867">
        <f t="shared" si="13"/>
        <v>0</v>
      </c>
      <c r="AI19" s="862">
        <f t="shared" si="13"/>
        <v>555</v>
      </c>
      <c r="AJ19" s="864">
        <f t="shared" si="13"/>
        <v>0</v>
      </c>
      <c r="AK19" s="867">
        <f t="shared" si="13"/>
        <v>0</v>
      </c>
      <c r="AL19" s="871">
        <f>IF(ISNUMBER(NºAsuntos!G19/NºAsuntos!E19),NºAsuntos!G19/NºAsuntos!E19," - ")</f>
        <v>0.92289321050835893</v>
      </c>
      <c r="AM19" s="871">
        <f>IF(ISNUMBER(((NºAsuntos!I19/NºAsuntos!G19)*11)/factor_trimestre),((NºAsuntos!I19/NºAsuntos!G19)*11)/factor_trimestre," - ")</f>
        <v>5.5042513863216262</v>
      </c>
      <c r="AN19" s="872">
        <f>IF(ISNUMBER('Resol  Asuntos'!D19/NºAsuntos!G19),'Resol  Asuntos'!D19/NºAsuntos!G19," - ")</f>
        <v>0.20517560073937152</v>
      </c>
      <c r="AO19" s="873">
        <f>IF(ISNUMBER((NºAsuntos!C19+NºAsuntos!E19)/NºAsuntos!G19),(NºAsuntos!C19+NºAsuntos!E19)/NºAsuntos!G19," - ")</f>
        <v>2.8573012939001847</v>
      </c>
      <c r="AP19" s="874" t="str">
        <f t="shared" si="2"/>
        <v xml:space="preserve"> - </v>
      </c>
      <c r="AQ19" s="874">
        <f>IF(ISNUMBER((H19-W19+K19)/(F19)),(H19-W19+K19)/(F19)," - ")</f>
        <v>-0.58234660925726589</v>
      </c>
      <c r="AR19" s="875">
        <f>IF(ISNUMBER((Datos!P19-Datos!Q19)/(Datos!R19-Datos!P19+Datos!Q19)),(Datos!P19-Datos!Q19)/(Datos!R19-Datos!P19+Datos!Q19)," - ")</f>
        <v>-0.12808460634547592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4748</v>
      </c>
      <c r="G20" s="818">
        <f t="shared" si="15"/>
        <v>4901</v>
      </c>
      <c r="H20" s="817">
        <f t="shared" si="15"/>
        <v>0</v>
      </c>
      <c r="I20" s="819">
        <f t="shared" si="15"/>
        <v>0</v>
      </c>
      <c r="J20" s="819">
        <f t="shared" si="15"/>
        <v>0</v>
      </c>
      <c r="K20" s="878">
        <f t="shared" si="15"/>
        <v>0</v>
      </c>
      <c r="L20" s="819">
        <f t="shared" si="15"/>
        <v>1081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2767</v>
      </c>
      <c r="X20" s="818">
        <f t="shared" si="16"/>
        <v>835</v>
      </c>
      <c r="Y20" s="825">
        <f t="shared" si="16"/>
        <v>3403</v>
      </c>
      <c r="Z20" s="825">
        <f t="shared" si="16"/>
        <v>0</v>
      </c>
      <c r="AA20" s="825">
        <f t="shared" si="16"/>
        <v>5036</v>
      </c>
      <c r="AB20" s="825">
        <f t="shared" si="16"/>
        <v>17274</v>
      </c>
      <c r="AC20" s="825">
        <f t="shared" si="16"/>
        <v>5877</v>
      </c>
      <c r="AD20" s="825">
        <f t="shared" si="16"/>
        <v>0</v>
      </c>
      <c r="AE20" s="827">
        <f t="shared" si="16"/>
        <v>0</v>
      </c>
      <c r="AF20" s="828">
        <f t="shared" si="16"/>
        <v>0</v>
      </c>
      <c r="AG20" s="829">
        <f t="shared" si="16"/>
        <v>0</v>
      </c>
      <c r="AH20" s="827">
        <f t="shared" si="16"/>
        <v>0</v>
      </c>
      <c r="AI20" s="817">
        <f t="shared" si="16"/>
        <v>2301</v>
      </c>
      <c r="AJ20" s="817">
        <f t="shared" si="16"/>
        <v>0</v>
      </c>
      <c r="AK20" s="827">
        <f t="shared" si="16"/>
        <v>0</v>
      </c>
      <c r="AL20" s="881">
        <f>IF(ISNUMBER(NºAsuntos!G20/NºAsuntos!E20),NºAsuntos!G20/NºAsuntos!E20," - ")</f>
        <v>0.98103105400030599</v>
      </c>
      <c r="AM20" s="882">
        <f>IF(ISNUMBER(((NºAsuntos!I20/NºAsuntos!G20)*11)/factor_trimestre),((NºAsuntos!I20/NºAsuntos!G20)*11)/factor_trimestre," - ")</f>
        <v>6.6666146889131461</v>
      </c>
      <c r="AN20" s="882">
        <f>IF(ISNUMBER('Resol  Asuntos'!D20/NºAsuntos!G20),'Resol  Asuntos'!D20/NºAsuntos!G20," - ")</f>
        <v>0.35880243255886479</v>
      </c>
      <c r="AO20" s="883">
        <f>IF(ISNUMBER((NºAsuntos!C20+NºAsuntos!E20)/NºAsuntos!G20),(NºAsuntos!C20+NºAsuntos!E20)/NºAsuntos!G20," - ")</f>
        <v>3.230469359114299</v>
      </c>
      <c r="AP20" s="884" t="str">
        <f t="shared" si="2"/>
        <v xml:space="preserve"> - </v>
      </c>
      <c r="AQ20" s="885">
        <f>IF(OR(ISNUMBER(FIND("01",Criterios!A8,1)),ISNUMBER(FIND("02",Criterios!A8,1)),ISNUMBER(FIND("03",Criterios!A8,1)),ISNUMBER(FIND("04",Criterios!A8,1))),(I20-W20+K20)/(F20-K20),(H20-W20+K20)/(F20-K20))</f>
        <v>-0.58277169334456613</v>
      </c>
      <c r="AR20" s="886">
        <f>IF(ISNUMBER((Datos!P20-Datos!Q20)/(Datos!R20-Datos!P20+Datos!Q20)),(Datos!P20-Datos!Q20)/(Datos!R20-Datos!P20+Datos!Q20)," - ")</f>
        <v>1.4446793516560958E-2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1960.4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2622.3249226592802</v>
      </c>
      <c r="G22" s="252">
        <f>IF(ISNUMBER(STDEV(G8:G19)),STDEV(G8:G19),"-")</f>
        <v>2545.4166260162597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1373.5969932989806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725.25693312619842</v>
      </c>
      <c r="AJ22" s="251">
        <f t="shared" si="20"/>
        <v>0</v>
      </c>
      <c r="AK22" s="253">
        <f t="shared" si="20"/>
        <v>0</v>
      </c>
      <c r="AL22" s="248">
        <f t="shared" si="20"/>
        <v>0.40304649701625433</v>
      </c>
      <c r="AM22" s="249">
        <f t="shared" si="20"/>
        <v>1.8164536643535527</v>
      </c>
      <c r="AN22" s="249">
        <f t="shared" si="20"/>
        <v>0.13524736527094852</v>
      </c>
      <c r="AO22" s="250">
        <f t="shared" si="20"/>
        <v>0.59652575962720789</v>
      </c>
      <c r="AP22" s="290" t="str">
        <f t="shared" si="20"/>
        <v>-</v>
      </c>
      <c r="AQ22" s="291">
        <f t="shared" si="20"/>
        <v>1.3855855181213463E-2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zfMjWeVn/v4Jlfv9M71ckeu5MlAW+F72vC7uJKIdEqAeIzryoamnZpM6WOPtosetFWL9+/dwZNqxTXZicItrQ==" saltValue="65UUkkPDg/X2uuZ/NoiQ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LEON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-1.547029702970297E-2</v>
      </c>
      <c r="I9" s="349">
        <f>IF(ISNUMBER((Tasas!C9-Datos!BE9)/Datos!BE9),(Tasas!C9-Datos!BE9)/Datos!BE9," - ")</f>
        <v>-7.2249675874388681E-3</v>
      </c>
      <c r="J9" s="348">
        <f>IF(ISNUMBER((Tasas!D9-Datos!BF9)/Datos!BF9),(Tasas!D9-Datos!BF9)/Datos!BF9," - ")</f>
        <v>0.79464969183557344</v>
      </c>
      <c r="K9" s="350">
        <f>IF(ISNUMBER((Tasas!E9-Datos!BG9)/Datos!BG9),(Tasas!E9-Datos!BG9)/Datos!BG9," - ")</f>
        <v>-5.935692661240023E-3</v>
      </c>
      <c r="M9" t="e">
        <f>IF(Monitorios="SI",Datos!CE9,0)</f>
        <v>#REF!</v>
      </c>
      <c r="N9" t="e">
        <f>IF(Monitorios="SI",Datos!CF9,0)</f>
        <v>#REF!</v>
      </c>
      <c r="O9" t="e">
        <f>IF(Monitorios="SI",Datos!CG9,0)</f>
        <v>#REF!</v>
      </c>
      <c r="P9" t="e">
        <f>IF(Monitorios="SI",Datos!CH9,0)</f>
        <v>#REF!</v>
      </c>
      <c r="Q9">
        <f>IF(J_V="SI",0,Datos!AG9)</f>
        <v>70</v>
      </c>
      <c r="R9">
        <f>IF(J_V="SI",0,Datos!AH9)</f>
        <v>52</v>
      </c>
      <c r="S9">
        <f>IF(J_V="SI",0,Datos!AI9)</f>
        <v>56</v>
      </c>
      <c r="T9">
        <f>IF(J_V="SI",0,Datos!AJ9)</f>
        <v>66</v>
      </c>
    </row>
    <row r="10" spans="2:20" ht="14.25">
      <c r="B10" s="274" t="s">
        <v>247</v>
      </c>
      <c r="C10" s="7" t="str">
        <f>Datos!A10</f>
        <v>Sección De Violencia sobre la Mujer del TI</v>
      </c>
      <c r="D10" s="351">
        <f>IF(ISNUMBER((Datos!I10-Datos!S10)/Datos!S10),(Datos!I10-Datos!S10)/Datos!S10," - ")</f>
        <v>-0.11206896551724138</v>
      </c>
      <c r="E10" s="347">
        <f>IF(ISNUMBER((Datos!J10-Datos!T10)/Datos!T10),(Datos!J10-Datos!T10)/Datos!T10," - ")</f>
        <v>0.39130434782608697</v>
      </c>
      <c r="F10" s="347">
        <f>IF(ISNUMBER((Datos!K10-Datos!U10)/Datos!U10),(Datos!K10-Datos!U10)/Datos!U10," - ")</f>
        <v>2.1</v>
      </c>
      <c r="G10" s="348">
        <f>IF(ISNUMBER((Datos!L10-Datos!V10)/Datos!V10),(Datos!L10-Datos!V10)/Datos!V10," - ")</f>
        <v>-0.37606837606837606</v>
      </c>
      <c r="H10" s="229">
        <f>IF(ISNUMBER((Datos!M10-Datos!W10)/Datos!W10),(Datos!M10-Datos!W10)/Datos!W10," - ")</f>
        <v>0.55555555555555558</v>
      </c>
      <c r="I10" s="349">
        <f>IF(ISNUMBER((Tasas!C10-Datos!BE10)/Datos!BE10),(Tasas!C10-Datos!BE10)/Datos!BE10," - ")</f>
        <v>-0.79873173421560517</v>
      </c>
      <c r="J10" s="348">
        <f>IF(ISNUMBER((Tasas!D10-Datos!BF10)/Datos!BF10),(Tasas!D10-Datos!BF10)/Datos!BF10," - ")</f>
        <v>-0.49820788530465954</v>
      </c>
      <c r="K10" s="350">
        <f>IF(ISNUMBER((Tasas!E10-Datos!BG10)/Datos!BG10),(Tasas!E10-Datos!BG10)/Datos!BG10," - ")</f>
        <v>-0.68670225110234406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-0.12422360248447205</v>
      </c>
      <c r="I11" s="349">
        <f>IF(ISNUMBER((Tasas!C11-Datos!BE11)/Datos!BE11),(Tasas!C11-Datos!BE11)/Datos!BE11," - ")</f>
        <v>-3.0024872567043216E-2</v>
      </c>
      <c r="J11" s="348">
        <f>IF(ISNUMBER((Tasas!D11-Datos!BF11)/Datos!BF11),(Tasas!D11-Datos!BF11)/Datos!BF11," - ")</f>
        <v>-0.48332658212071172</v>
      </c>
      <c r="K11" s="350">
        <f>IF(ISNUMBER((Tasas!E11-Datos!BG11)/Datos!BG11),(Tasas!E11-Datos!BG11)/Datos!BG11," - ")</f>
        <v>-1.9802159730088142E-2</v>
      </c>
      <c r="M11" t="e">
        <f>IF(Monitorios="SI",Datos!CE11,0)</f>
        <v>#REF!</v>
      </c>
      <c r="N11" t="e">
        <f>IF(Monitorios="SI",Datos!CF11,0)</f>
        <v>#REF!</v>
      </c>
      <c r="O11" t="e">
        <f>IF(Monitorios="SI",Datos!CG11,0)</f>
        <v>#REF!</v>
      </c>
      <c r="P11" t="e">
        <f>IF(Monitorios="SI",Datos!CH11,0)</f>
        <v>#REF!</v>
      </c>
      <c r="Q11">
        <f>IF(J_V="SI",0,Datos!AG11)</f>
        <v>391</v>
      </c>
      <c r="R11">
        <f>IF(J_V="SI",0,Datos!AH11)</f>
        <v>175</v>
      </c>
      <c r="S11">
        <f>IF(J_V="SI",0,Datos!AI11)</f>
        <v>174</v>
      </c>
      <c r="T11">
        <f>IF(J_V="SI",0,Datos!AJ11)</f>
        <v>392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-2.2396416573348264E-2</v>
      </c>
      <c r="I13" s="356">
        <f>IF(ISNUMBER((Tasas!C13-Datos!BE13)/Datos!BE13),(Tasas!C13-Datos!BE13)/Datos!BE13," - ")</f>
        <v>-2.6419591142970527E-2</v>
      </c>
      <c r="J13" s="354">
        <f>IF(ISNUMBER((Tasas!D13-Datos!BF13)/Datos!BF13),(Tasas!D13-Datos!BF13)/Datos!BF13," - ")</f>
        <v>0.49302930205101803</v>
      </c>
      <c r="K13" s="357">
        <f>IF(ISNUMBER((Tasas!E13-Datos!BG13)/Datos!BG13),(Tasas!E13-Datos!BG13)/Datos!BG13," - ")</f>
        <v>-1.9740804708556763E-2</v>
      </c>
      <c r="M13" t="e">
        <f>IF(Monitorios="SI",Datos!CE13,0)</f>
        <v>#REF!</v>
      </c>
      <c r="N13" t="e">
        <f>IF(Monitorios="SI",Datos!CF13,0)</f>
        <v>#REF!</v>
      </c>
      <c r="O13" t="e">
        <f>IF(Monitorios="SI",Datos!CG13,0)</f>
        <v>#REF!</v>
      </c>
      <c r="P13" t="e">
        <f>IF(Monitorios="SI",Datos!CH13,0)</f>
        <v>#REF!</v>
      </c>
      <c r="Q13">
        <f>IF(J_V="SI",0,Datos!AG13)</f>
        <v>461</v>
      </c>
      <c r="R13">
        <f>IF(J_V="SI",0,Datos!AH13)</f>
        <v>227</v>
      </c>
      <c r="S13">
        <f>IF(J_V="SI",0,Datos!AI13)</f>
        <v>230</v>
      </c>
      <c r="T13">
        <f>IF(J_V="SI",0,Datos!AJ13)</f>
        <v>458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-5.9259259259259262E-2</v>
      </c>
      <c r="E15" s="347">
        <f>IF(ISNUMBER(
   IF(D_I="SI",(Datos!J15-Datos!T15)/Datos!T15,(Datos!J15+Datos!AD15-(Datos!T15+Datos!AL15))/(Datos!T15+Datos!AL15))
     ),IF(D_I="SI",(Datos!J15-Datos!T15)/Datos!T15,(Datos!J15+Datos!AD15-(Datos!T15+Datos!AL15))/(Datos!T15+Datos!AL15))," - ")</f>
        <v>3.3725490196078428E-2</v>
      </c>
      <c r="F15" s="347">
        <f>IF(ISNUMBER(
   IF(D_I="SI",(Datos!K15-Datos!U15)/Datos!U15,(Datos!K15+Datos!AE15-(Datos!U15+Datos!AM15))/(Datos!U15+Datos!AM15))
     ),IF(D_I="SI",(Datos!K15-Datos!U15)/Datos!U15,(Datos!K15+Datos!AE15-(Datos!U15+Datos!AM15))/(Datos!U15+Datos!AM15))," - ")</f>
        <v>-0.14789687924016282</v>
      </c>
      <c r="G15" s="348">
        <f>IF(ISNUMBER(
   IF(D_I="SI",(Datos!L15-Datos!V15)/Datos!V15,(Datos!L15+Datos!AF15-(Datos!V15+Datos!AN15))/(Datos!V15+Datos!AN15))
     ),IF(D_I="SI",(Datos!L15-Datos!V15)/Datos!V15,(Datos!L15+Datos!AF15-(Datos!V15+Datos!AN15))/(Datos!V15+Datos!AN15))," - ")</f>
        <v>3.2474561593418487E-2</v>
      </c>
      <c r="H15" s="229">
        <f>IF(ISNUMBER((Datos!M15-Datos!W15)/Datos!W15),(Datos!M15-Datos!W15)/Datos!W15," - ")</f>
        <v>0.125</v>
      </c>
      <c r="I15" s="349">
        <f>IF(ISNUMBER((Tasas!C15-Datos!BE15)/Datos!BE15),(Tasas!C15-Datos!BE15)/Datos!BE15," - ")</f>
        <v>0.21167794887635261</v>
      </c>
      <c r="J15" s="348">
        <f>IF(ISNUMBER((Tasas!D15-Datos!BF15)/Datos!BF15),(Tasas!D15-Datos!BF15)/Datos!BF15," - ")</f>
        <v>0.3202627388535032</v>
      </c>
      <c r="K15" s="350">
        <f>IF(ISNUMBER((Tasas!E15-Datos!BG15)/Datos!BG15),(Tasas!E15-Datos!BG15)/Datos!BG15," - ")</f>
        <v>0.14090298970508167</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0.125</v>
      </c>
      <c r="E18" s="347">
        <f>IF(ISNUMBER(
   IF(D_I="SI",(Datos!J18-Datos!T18)/Datos!T18,(Datos!J18+Datos!AD18-(Datos!T18+Datos!AL18))/(Datos!T18+Datos!AL18))
     ),IF(D_I="SI",(Datos!J18-Datos!T18)/Datos!T18,(Datos!J18+Datos!AD18-(Datos!T18+Datos!AL18))/(Datos!T18+Datos!AL18))," - ")</f>
        <v>0.37209302325581395</v>
      </c>
      <c r="F18" s="347">
        <f>IF(ISNUMBER(
   IF(D_I="SI",(Datos!K18-Datos!U18)/Datos!U18,(Datos!K18+Datos!AE18-(Datos!U18+Datos!AM18))/(Datos!U18+Datos!AM18))
     ),IF(D_I="SI",(Datos!K18-Datos!U18)/Datos!U18,(Datos!K18+Datos!AE18-(Datos!U18+Datos!AM18))/(Datos!U18+Datos!AM18))," - ")</f>
        <v>-0.14222222222222222</v>
      </c>
      <c r="G18" s="348">
        <f>IF(ISNUMBER(
   IF(D_I="SI",(Datos!L18-Datos!V18)/Datos!V18,(Datos!L18+Datos!AF18-(Datos!V18+Datos!AN18))/(Datos!V18+Datos!AN18))
     ),IF(D_I="SI",(Datos!L18-Datos!V18)/Datos!V18,(Datos!L18+Datos!AF18-(Datos!V18+Datos!AN18))/(Datos!V18+Datos!AN18))," - ")</f>
        <v>1.3950617283950617</v>
      </c>
      <c r="H18" s="229">
        <f>IF(ISNUMBER((Datos!M18-Datos!W18)/Datos!W18),(Datos!M18-Datos!W18)/Datos!W18," - ")</f>
        <v>0.22222222222222221</v>
      </c>
      <c r="I18" s="349">
        <f>IF(ISNUMBER((Tasas!C18-Datos!BE18)/Datos!BE18),(Tasas!C18-Datos!BE18)/Datos!BE18," - ")</f>
        <v>1.7921704087507198</v>
      </c>
      <c r="J18" s="348">
        <f>IF(ISNUMBER((Tasas!D18-Datos!BF18)/Datos!BF18),(Tasas!D18-Datos!BF18)/Datos!BF18," - ")</f>
        <v>0.42487046632124353</v>
      </c>
      <c r="K18" s="350">
        <f>IF(ISNUMBER((Tasas!E18-Datos!BG18)/Datos!BG18),(Tasas!E18-Datos!BG18)/Datos!BG18," - ")</f>
        <v>0.51592879495203414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-5.6069250442651979E-2</v>
      </c>
      <c r="E19" s="353">
        <f>IF(ISNUMBER(
   IF(D_I="SI",(Datos!J19-Datos!T19)/Datos!T19,(Datos!J19+Datos!AD19-(Datos!T19+Datos!AL19))/(Datos!T19+Datos!AL19))
     ),IF(D_I="SI",(Datos!J19-Datos!T19)/Datos!T19,(Datos!J19+Datos!AD19-(Datos!T19+Datos!AL19))/(Datos!T19+Datos!AL19))," - ")</f>
        <v>6.0036166365280287E-2</v>
      </c>
      <c r="F19" s="353">
        <f>IF(ISNUMBER(
   IF(D_I="SI",(Datos!K19-Datos!U19)/Datos!U19,(Datos!K19+Datos!AE19-(Datos!U19+Datos!AM19))/(Datos!U19+Datos!AM19))
     ),IF(D_I="SI",(Datos!K19-Datos!U19)/Datos!U19,(Datos!K19+Datos!AE19-(Datos!U19+Datos!AM19))/(Datos!U19+Datos!AM19))," - ")</f>
        <v>-0.14749448471478097</v>
      </c>
      <c r="G19" s="354">
        <f>IF(ISNUMBER(
   IF(D_I="SI",(Datos!L19-Datos!V19)/Datos!V19,(Datos!L19+Datos!AF19-(Datos!V19+Datos!AN19))/(Datos!V19+Datos!AN19))
     ),IF(D_I="SI",(Datos!L19-Datos!V19)/Datos!V19,(Datos!L19+Datos!AF19-(Datos!V19+Datos!AN19))/(Datos!V19+Datos!AN19))," - ")</f>
        <v>5.5957446808510641E-2</v>
      </c>
      <c r="H19" s="355">
        <f>IF(ISNUMBER((Datos!M19-Datos!W19)/Datos!W19),(Datos!M19-Datos!W19)/Datos!W19," - ")</f>
        <v>0.13034623217922606</v>
      </c>
      <c r="I19" s="356">
        <f>IF(ISNUMBER((Tasas!C19-Datos!BE19)/Datos!BE19),(Tasas!C19-Datos!BE19)/Datos!BE19," - ")</f>
        <v>0.23865174814173912</v>
      </c>
      <c r="J19" s="354">
        <f>IF(ISNUMBER((Tasas!D19-Datos!BF19)/Datos!BF19),(Tasas!D19-Datos!BF19)/Datos!BF19," - ")</f>
        <v>0.32591075589821961</v>
      </c>
      <c r="K19" s="357">
        <f>IF(ISNUMBER((Tasas!E19-Datos!BG19)/Datos!BG19),(Tasas!E19-Datos!BG19)/Datos!BG19," - ")</f>
        <v>0.15522642782177437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-0.17505381348536855</v>
      </c>
      <c r="E20" s="362">
        <f>IF(ISNUMBER(
   IF(J_V="SI",(Datos!J20-Datos!T20)/Datos!T20,(Datos!J20+Datos!Z20-(Datos!T20+Datos!AH20))/(Datos!T20+Datos!AH20))
     ),IF(J_V="SI",(Datos!J20-Datos!T20)/Datos!T20,(Datos!J20+Datos!Z20-(Datos!T20+Datos!AH20))/(Datos!T20+Datos!AH20))," - ")</f>
        <v>-0.20036697247706423</v>
      </c>
      <c r="F20" s="362">
        <f>IF(ISNUMBER(
   IF(J_V="SI",(Datos!K20-Datos!U20)/Datos!U20,(Datos!K20+Datos!AA20-(Datos!U20+Datos!AI20))/(Datos!U20+Datos!AI20))
     ),IF(J_V="SI",(Datos!K20-Datos!U20)/Datos!U20,(Datos!K20+Datos!AA20-(Datos!U20+Datos!AI20))/(Datos!U20+Datos!AI20))," - ")</f>
        <v>-0.2058204334365325</v>
      </c>
      <c r="G20" s="363">
        <f>IF(ISNUMBER(
   IF(J_V="SI",(Datos!L20-Datos!V20)/Datos!V20,(Datos!L20+Datos!AB20-(Datos!V20+Datos!AJ20))/(Datos!V20+Datos!AJ20))
     ),IF(J_V="SI",(Datos!L20-Datos!V20)/Datos!V20,(Datos!L20+Datos!AB20-(Datos!V20+Datos!AJ20))/(Datos!V20+Datos!AJ20))," - ")</f>
        <v>-0.17681377079482441</v>
      </c>
      <c r="H20" s="364">
        <f>IF(ISNUMBER((Datos!M20-Datos!W20)/Datos!W20),(Datos!M20-Datos!W20)/Datos!W20," - ")</f>
        <v>1.0540184453227932E-2</v>
      </c>
      <c r="I20" s="361">
        <f>IF(ISNUMBER((Tasas!C20-Datos!BE20)/Datos!BE20),(Tasas!C20-Datos!BE20)/Datos!BE20," - ")</f>
        <v>3.6524060631809477E-2</v>
      </c>
      <c r="J20" s="362">
        <f>IF(ISNUMBER((Tasas!D20-Datos!BF20)/Datos!BF20),(Tasas!D20-Datos!BF20)/Datos!BF20," - ")</f>
        <v>0.42235132199942732</v>
      </c>
      <c r="K20" s="363">
        <f>IF(ISNUMBER((Tasas!E20-Datos!BG20)/Datos!BG20),(Tasas!E20-Datos!BG20)/Datos!BG20," - ")</f>
        <v>2.8467121701938297E-2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0.10363166014374714</v>
      </c>
      <c r="E22" s="277">
        <f t="shared" si="1"/>
        <v>0.19376417012825303</v>
      </c>
      <c r="F22" s="277">
        <f t="shared" si="1"/>
        <v>1.122938574038135</v>
      </c>
      <c r="G22" s="278">
        <f t="shared" si="1"/>
        <v>0.77140839813056838</v>
      </c>
      <c r="H22" s="284">
        <f t="shared" si="1"/>
        <v>0.22301965299965565</v>
      </c>
      <c r="I22" s="276">
        <f t="shared" si="1"/>
        <v>0.78327995220066515</v>
      </c>
      <c r="J22" s="277">
        <f t="shared" si="1"/>
        <v>0.4957675749707719</v>
      </c>
      <c r="K22" s="278">
        <f t="shared" si="1"/>
        <v>0.36092403944331891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cndTOmfswMouywkMfGzmy9z7IzFTzFOb0FL/3667d1ZB/IXaPtaCM8dCpktd/ePV3JayZk35uj+1IT0gSUWoA==" saltValue="+iohv8NohAUoIRH1i5fc1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